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88" activeTab="1"/>
  </bookViews>
  <sheets>
    <sheet name="Formulas" sheetId="16" r:id="rId1"/>
    <sheet name="Ejemplo" sheetId="18" r:id="rId2"/>
    <sheet name="Original" sheetId="17" r:id="rId3"/>
    <sheet name="Listado" sheetId="1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8" l="1"/>
  <c r="K62" i="18"/>
  <c r="G60" i="18"/>
  <c r="G55" i="18"/>
  <c r="J53" i="18"/>
  <c r="E52" i="18"/>
  <c r="H51" i="18"/>
  <c r="F47" i="18"/>
  <c r="G39" i="18"/>
  <c r="I42" i="18"/>
  <c r="F35" i="18"/>
  <c r="E34" i="18"/>
  <c r="J32" i="18" l="1"/>
  <c r="J31" i="18"/>
  <c r="J30" i="18"/>
  <c r="J29" i="18"/>
  <c r="F26" i="18"/>
  <c r="E25" i="18"/>
  <c r="J24" i="18"/>
  <c r="J23" i="18"/>
  <c r="J22" i="18"/>
  <c r="J21" i="18"/>
  <c r="J19" i="18"/>
  <c r="I9" i="18"/>
  <c r="D14" i="18"/>
  <c r="D13" i="18"/>
  <c r="D12" i="18"/>
  <c r="D11" i="18"/>
  <c r="D10" i="18"/>
  <c r="D9" i="18"/>
  <c r="D7" i="18"/>
  <c r="D8" i="18"/>
  <c r="C4" i="18"/>
  <c r="F60" i="18"/>
  <c r="F55" i="18"/>
  <c r="D51" i="18"/>
  <c r="D50" i="18"/>
  <c r="J57" i="18" s="1"/>
  <c r="H58" i="18" s="1"/>
  <c r="B3" i="17"/>
  <c r="K97" i="17"/>
  <c r="E97" i="17"/>
  <c r="F98" i="17" s="1"/>
  <c r="F90" i="17"/>
  <c r="F89" i="17"/>
  <c r="K88" i="17"/>
  <c r="E88" i="17"/>
  <c r="E63" i="17"/>
  <c r="I60" i="17"/>
  <c r="G61" i="17" s="1"/>
  <c r="E57" i="17"/>
  <c r="C53" i="17"/>
  <c r="G52" i="17"/>
  <c r="C52" i="17"/>
  <c r="C14" i="17"/>
  <c r="C13" i="17"/>
  <c r="C12" i="17"/>
  <c r="C11" i="17"/>
  <c r="I20" i="17" s="1"/>
  <c r="C10" i="17"/>
  <c r="I34" i="17" s="1"/>
  <c r="C9" i="17"/>
  <c r="C8" i="17"/>
  <c r="I32" i="17" s="1"/>
  <c r="C7" i="17"/>
  <c r="H9" i="17" s="1"/>
  <c r="G53" i="17" s="1"/>
  <c r="D54" i="17" s="1"/>
  <c r="I55" i="17" l="1"/>
  <c r="F99" i="17"/>
  <c r="I23" i="17"/>
  <c r="I22" i="17"/>
  <c r="I24" i="17"/>
  <c r="I25" i="17"/>
  <c r="I33" i="17"/>
  <c r="I31" i="17"/>
  <c r="D26" i="17" l="1"/>
  <c r="E27" i="17" s="1"/>
  <c r="J66" i="17" s="1"/>
  <c r="D35" i="17"/>
  <c r="E36" i="17" s="1"/>
  <c r="H68" i="17" l="1"/>
  <c r="F77" i="17"/>
  <c r="F40" i="17"/>
  <c r="H43" i="17" s="1"/>
  <c r="L81" i="17"/>
  <c r="E82" i="17" s="1"/>
  <c r="H82" i="17" s="1"/>
  <c r="F101" i="17" l="1"/>
  <c r="F92" i="17"/>
  <c r="L77" i="17"/>
  <c r="I77" i="17"/>
  <c r="D78" i="17" s="1"/>
  <c r="F80" i="17" s="1"/>
  <c r="I80" i="17" s="1"/>
  <c r="E100" i="17" l="1"/>
  <c r="G102" i="17" s="1"/>
  <c r="E91" i="17"/>
  <c r="G93" i="17" s="1"/>
</calcChain>
</file>

<file path=xl/sharedStrings.xml><?xml version="1.0" encoding="utf-8"?>
<sst xmlns="http://schemas.openxmlformats.org/spreadsheetml/2006/main" count="641" uniqueCount="266">
  <si>
    <t>ING. TRANSPORTE</t>
  </si>
  <si>
    <t>D =</t>
  </si>
  <si>
    <t>C =</t>
  </si>
  <si>
    <t>H =</t>
  </si>
  <si>
    <t>Grúa móvil</t>
  </si>
  <si>
    <t>Alumno:</t>
  </si>
  <si>
    <t>Fecha:</t>
  </si>
  <si>
    <t>Nota:</t>
  </si>
  <si>
    <t>A =</t>
  </si>
  <si>
    <t>B =</t>
  </si>
  <si>
    <t>F =</t>
  </si>
  <si>
    <t>G =</t>
  </si>
  <si>
    <t>E =</t>
  </si>
  <si>
    <t>Tipo de aparato de elevación, según normativa:</t>
  </si>
  <si>
    <t>Grúa móvil, automotriz, sobre orugas, con pluma inclinable y orientable,</t>
  </si>
  <si>
    <t xml:space="preserve"> telescópica, con gancho y estabilizadores.</t>
  </si>
  <si>
    <t xml:space="preserve">F = </t>
  </si>
  <si>
    <t>t</t>
  </si>
  <si>
    <t>F x d = [P x a + Q x (a + b)]</t>
  </si>
  <si>
    <t>Peso grúa</t>
  </si>
  <si>
    <t>P =</t>
  </si>
  <si>
    <t>Contrapeso</t>
  </si>
  <si>
    <t>Q =</t>
  </si>
  <si>
    <t>a =</t>
  </si>
  <si>
    <t>m</t>
  </si>
  <si>
    <t>b =</t>
  </si>
  <si>
    <t>t·m</t>
  </si>
  <si>
    <t>d =</t>
  </si>
  <si>
    <t>F x d/d =</t>
  </si>
  <si>
    <t>Fuerza máxima sobre estabilizadores</t>
  </si>
  <si>
    <t>Con la carga máxima, a punto de vuelco, por equilibrio de fuerzas</t>
  </si>
  <si>
    <t>Fes =</t>
  </si>
  <si>
    <t>Fmax x d =</t>
  </si>
  <si>
    <t>Fmax =</t>
  </si>
  <si>
    <t>Fmax + P + Q =</t>
  </si>
  <si>
    <t>Carga total sobre los estabilizadores de un lateral</t>
  </si>
  <si>
    <t>Tensión máxima sobre el cable</t>
  </si>
  <si>
    <t>Nº ramales,</t>
  </si>
  <si>
    <t>i =</t>
  </si>
  <si>
    <t>Rendimiento aparejo,</t>
  </si>
  <si>
    <t>Kap =</t>
  </si>
  <si>
    <t>S =</t>
  </si>
  <si>
    <t>Fmax / (ixKap) =</t>
  </si>
  <si>
    <t>Clasificación UNE aparato y mecanismo de elevación</t>
  </si>
  <si>
    <t>Años:</t>
  </si>
  <si>
    <t>Días útiles / año:</t>
  </si>
  <si>
    <t>(5 de cada 7, aprox)</t>
  </si>
  <si>
    <t>Horas dia:</t>
  </si>
  <si>
    <t>Tiempo ciclo, X =</t>
  </si>
  <si>
    <t>min</t>
  </si>
  <si>
    <t>Ciclos/hora = 60/X =</t>
  </si>
  <si>
    <t>Total ciclos:</t>
  </si>
  <si>
    <t>ciclos</t>
  </si>
  <si>
    <t>Estado de carga aparato:</t>
  </si>
  <si>
    <t>Clase ut.</t>
  </si>
  <si>
    <t>Q3</t>
  </si>
  <si>
    <t>--&gt;</t>
  </si>
  <si>
    <t>Grupo del aparato:</t>
  </si>
  <si>
    <t>Mecanismo elevación:</t>
  </si>
  <si>
    <t>Estimamos en un 50% el tiempo de funcionamiento</t>
  </si>
  <si>
    <t>Horas de vida del aparato:</t>
  </si>
  <si>
    <t>h</t>
  </si>
  <si>
    <t>Horas de funcionamiento mecanismo:</t>
  </si>
  <si>
    <t xml:space="preserve">f = </t>
  </si>
  <si>
    <t>Clase utilización</t>
  </si>
  <si>
    <t>T7</t>
  </si>
  <si>
    <t>Estado de carga mec. elev:</t>
  </si>
  <si>
    <t>L3</t>
  </si>
  <si>
    <t>Grupo del mecanismo:</t>
  </si>
  <si>
    <t>M8</t>
  </si>
  <si>
    <t>Estimación longitud de cable:</t>
  </si>
  <si>
    <t>La longitud de la pluma viene dada por el alcance máximo.</t>
  </si>
  <si>
    <t xml:space="preserve"> a + d =</t>
  </si>
  <si>
    <t>La longitud de cada ramal es, aproximadamente, la longitud de la pluma.</t>
  </si>
  <si>
    <t>Hay cinco ramales.</t>
  </si>
  <si>
    <t>Por tanto,</t>
  </si>
  <si>
    <t>Lcable =</t>
  </si>
  <si>
    <t>Esfuerzos</t>
  </si>
  <si>
    <t>Lp =</t>
  </si>
  <si>
    <t>5 x Lp =</t>
  </si>
  <si>
    <t>Suponemos que el ángulo entre S y la pluma es despreciable.</t>
  </si>
  <si>
    <t>Suponemos que el punto de empuje del cilindro está a 0,8 x a de la articulación.</t>
  </si>
  <si>
    <t>Situación crítica con carga máxima, por tanto, cuando está más vertical y extendida.</t>
  </si>
  <si>
    <t>Suponemos que la fuerza del cilindro va en vertical.</t>
  </si>
  <si>
    <t>Esfuerzos de compresión por Fmax y S.</t>
  </si>
  <si>
    <t>Más esfuerzos de flexión por Ft (transversal de Fmax).</t>
  </si>
  <si>
    <t>sen (theta) =</t>
  </si>
  <si>
    <t>(1 + a) / Lp =</t>
  </si>
  <si>
    <t>theta =</t>
  </si>
  <si>
    <t>grados</t>
  </si>
  <si>
    <t>N =</t>
  </si>
  <si>
    <t>S + [Fmax x cos(theta)] =</t>
  </si>
  <si>
    <t>rad</t>
  </si>
  <si>
    <t>=</t>
  </si>
  <si>
    <t>cos (theta) =</t>
  </si>
  <si>
    <t>Ft =</t>
  </si>
  <si>
    <t>Fmax x sen(theta) =</t>
  </si>
  <si>
    <t>M =</t>
  </si>
  <si>
    <t>Ft x (Lp - 0,8 a) =</t>
  </si>
  <si>
    <t>kN</t>
  </si>
  <si>
    <t>kN·m</t>
  </si>
  <si>
    <t>Tensiones dimensionamiento</t>
  </si>
  <si>
    <t>Suponemos perfil hueco, h x b, de espesor e.</t>
  </si>
  <si>
    <t>Suponemos tensión admisible de 120 MPa</t>
  </si>
  <si>
    <t>b' =</t>
  </si>
  <si>
    <t>b - (2 x e) =</t>
  </si>
  <si>
    <t>Primer intento</t>
  </si>
  <si>
    <t>h =</t>
  </si>
  <si>
    <t>mm</t>
  </si>
  <si>
    <t>e =</t>
  </si>
  <si>
    <t>h' =</t>
  </si>
  <si>
    <t>h - (2 x e) =</t>
  </si>
  <si>
    <t>Área sección, A =</t>
  </si>
  <si>
    <t>bh - b'h' =</t>
  </si>
  <si>
    <t>mm2</t>
  </si>
  <si>
    <t xml:space="preserve">MdI, I = </t>
  </si>
  <si>
    <t>1/12 (bh3 - b'h'3) =</t>
  </si>
  <si>
    <t>mm4</t>
  </si>
  <si>
    <t>sigma_c =</t>
  </si>
  <si>
    <t>N / A =</t>
  </si>
  <si>
    <t>MPa</t>
  </si>
  <si>
    <t>sigma_f =</t>
  </si>
  <si>
    <t>M x (h/2)/I =</t>
  </si>
  <si>
    <t>sigma =</t>
  </si>
  <si>
    <t>sigma_c + sigma_f =</t>
  </si>
  <si>
    <t>Segundo intento</t>
  </si>
  <si>
    <t>&gt; 120</t>
  </si>
  <si>
    <t>NO ADMISIBLE</t>
  </si>
  <si>
    <t>&lt; 120</t>
  </si>
  <si>
    <t>ADMISIBLE</t>
  </si>
  <si>
    <t>DNI</t>
  </si>
  <si>
    <t>75896342d</t>
  </si>
  <si>
    <t>Alcance máximo d, para carga F, antes de vuelco.</t>
  </si>
  <si>
    <t>7 + E =</t>
  </si>
  <si>
    <t>6 + (2xB) =</t>
  </si>
  <si>
    <t>2 + B =</t>
  </si>
  <si>
    <t>2+ (0,2xD)=</t>
  </si>
  <si>
    <t>1,6+(0,1xD)=</t>
  </si>
  <si>
    <t>Carga máxima con alcance, d = 2 m</t>
  </si>
  <si>
    <t>(versión 2022)</t>
  </si>
  <si>
    <t>Suponiendo dos estabilizadores por lateral:</t>
  </si>
  <si>
    <t>Carga máxima sobre cada estabilizador:</t>
  </si>
  <si>
    <t>Fes / 2 =</t>
  </si>
  <si>
    <t>(supuesto poleas sobre rodamientos y contando polea superior)</t>
  </si>
  <si>
    <t>Años de servicio</t>
  </si>
  <si>
    <t>años</t>
  </si>
  <si>
    <t>Horas diarias de servicio</t>
  </si>
  <si>
    <t>J =</t>
  </si>
  <si>
    <t>h/dia</t>
  </si>
  <si>
    <t>Tiempo de ciclo</t>
  </si>
  <si>
    <t>X = 6 + A =</t>
  </si>
  <si>
    <t>12 años x 260 días/año x 8 h/día x 60/X ciclos/h =</t>
  </si>
  <si>
    <t>12 años x 260 días/año x 8 h/día =</t>
  </si>
  <si>
    <t>Problema</t>
  </si>
  <si>
    <t>Con efectos dinámicos, por equilibrio de momentos en estabilizador</t>
  </si>
  <si>
    <t>psi =</t>
  </si>
  <si>
    <t>(psi x F) x d = [P x a + Q x (a + b)]</t>
  </si>
  <si>
    <t>(psi x F) x d =</t>
  </si>
  <si>
    <t>Fxd/(psixF) =</t>
  </si>
  <si>
    <t>mal</t>
  </si>
  <si>
    <t>U4</t>
  </si>
  <si>
    <t>A5</t>
  </si>
  <si>
    <t>Estimamos en un 70% el tiempo de funcionamiento</t>
  </si>
  <si>
    <t>12 años x 340 días/año x 8 h/día =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</si>
  <si>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</si>
  <si>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</si>
  <si>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</si>
  <si>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</si>
  <si>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</si>
  <si>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</si>
  <si>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</si>
  <si>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</si>
  <si>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</si>
  <si>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</si>
  <si>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</si>
  <si>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</si>
  <si>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</si>
  <si>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TAREA 9</t>
  </si>
  <si>
    <t>GRÚA MOVIL</t>
  </si>
  <si>
    <t>=EXTRAE($D$6;1;1)</t>
  </si>
  <si>
    <t>=EXTRAE($D$6;2;1)</t>
  </si>
  <si>
    <t>=EXTRAE($D$6;3;1)</t>
  </si>
  <si>
    <t>=EXTRAE($D$6;4;1)</t>
  </si>
  <si>
    <t>=EXTRAE($D$6;5;1)</t>
  </si>
  <si>
    <t>=EXTRAE($D$6;6;1)</t>
  </si>
  <si>
    <t>=EXTRAE($D$6;7;1)</t>
  </si>
  <si>
    <t>=EXTRAE($D$6;8;1)</t>
  </si>
  <si>
    <t>=6+D7</t>
  </si>
  <si>
    <t>=7+$D$11</t>
  </si>
  <si>
    <t>= 6 + (2*$D$8)</t>
  </si>
  <si>
    <t>= 2 + $D$8</t>
  </si>
  <si>
    <t>=2+(0,2*$D$10)</t>
  </si>
  <si>
    <t>=1,6+(0,1*$D$10)</t>
  </si>
  <si>
    <t>=I9</t>
  </si>
  <si>
    <t>Nº orden</t>
  </si>
  <si>
    <t>NI
Núm. Identificación</t>
  </si>
  <si>
    <t>Nombre</t>
  </si>
  <si>
    <t>76588960l</t>
  </si>
  <si>
    <t>Amando Sánchez, Rodrigo</t>
  </si>
  <si>
    <t>46346965q</t>
  </si>
  <si>
    <t>Aguilar Campo, Jaime</t>
  </si>
  <si>
    <t>76688699x</t>
  </si>
  <si>
    <t>Bardo Jiménez, Noelia</t>
  </si>
  <si>
    <t>Bringas Temido, Ramón</t>
  </si>
  <si>
    <t>67834322a</t>
  </si>
  <si>
    <t>Cáceres Martos, Adrián</t>
  </si>
  <si>
    <t>25432001b</t>
  </si>
  <si>
    <t>Charco Profundo, Ana</t>
  </si>
  <si>
    <t>50297996h</t>
  </si>
  <si>
    <t>Delgado Santos, Manuel</t>
  </si>
  <si>
    <t>71433902u</t>
  </si>
  <si>
    <t>Estébanez Sencillo, Ricardo</t>
  </si>
  <si>
    <t>15954881f</t>
  </si>
  <si>
    <t>Fuertes Cabeza, Dolores</t>
  </si>
  <si>
    <t>77244904k</t>
  </si>
  <si>
    <t>García Ramírez, Fernando</t>
  </si>
  <si>
    <t>64219067m</t>
  </si>
  <si>
    <t>González Villa, Luis</t>
  </si>
  <si>
    <t>74998930p</t>
  </si>
  <si>
    <t>Gutiérrez Alba, Manuela</t>
  </si>
  <si>
    <t>51000222n</t>
  </si>
  <si>
    <t>Hernán Porres, Francisco</t>
  </si>
  <si>
    <t>56348976v</t>
  </si>
  <si>
    <t>Huertas Luna, Antonio</t>
  </si>
  <si>
    <t>32909877f</t>
  </si>
  <si>
    <t>Indiano Blanco, Jesús</t>
  </si>
  <si>
    <t>32912007r</t>
  </si>
  <si>
    <t>Jaén Romero, Carlos</t>
  </si>
  <si>
    <t>77668012s</t>
  </si>
  <si>
    <t>López Algeciras, Sandra</t>
  </si>
  <si>
    <t>76689200j</t>
  </si>
  <si>
    <t>Muñoz García, Santiago</t>
  </si>
  <si>
    <t>74559860e</t>
  </si>
  <si>
    <t>Navarro Limón, María</t>
  </si>
  <si>
    <t>44555000w</t>
  </si>
  <si>
    <t>Perea Rosales, Carmen</t>
  </si>
  <si>
    <t>NI</t>
  </si>
  <si>
    <t>=BUSCARV(D6;Listado!B3:C22;2;FALSO)</t>
  </si>
  <si>
    <t>Incluyendo efectos dinámicos, por equilibrio de momentos en estabilizador</t>
  </si>
  <si>
    <t>=((J21*J23)+ (J22*(J23+J24)))</t>
  </si>
  <si>
    <t>Carga máxima con alcance, d = 2 m (por estabilidad)</t>
  </si>
  <si>
    <t>(psi F) d/(psi F) =</t>
  </si>
  <si>
    <t>=E25/(J20*J19)</t>
  </si>
  <si>
    <t>(psi Fmax) d =</t>
  </si>
  <si>
    <t>=((J29*J31)+ (J30*(J31+J32)))</t>
  </si>
  <si>
    <r>
      <t xml:space="preserve">Fmax </t>
    </r>
    <r>
      <rPr>
        <sz val="10"/>
        <color theme="1"/>
        <rFont val="Calibri"/>
        <family val="2"/>
        <scheme val="minor"/>
      </rPr>
      <t>= (psi Fmax) d/(psi d) =</t>
    </r>
  </si>
  <si>
    <t>=E34/(J20*J28)</t>
  </si>
  <si>
    <t>(psi Fmax) + P + Q =</t>
  </si>
  <si>
    <t>=(J20*F35)+J29+J30</t>
  </si>
  <si>
    <t>=G39/2</t>
  </si>
  <si>
    <t>(psi Fmax) / (i Kap) =</t>
  </si>
  <si>
    <t>=(J20*F35)/(F45*F46)</t>
  </si>
  <si>
    <t>=I8</t>
  </si>
  <si>
    <t>=I7</t>
  </si>
  <si>
    <t>=60/H51</t>
  </si>
  <si>
    <t>=D50*H50*D51*E52</t>
  </si>
  <si>
    <t>U3</t>
  </si>
  <si>
    <t>A4</t>
  </si>
  <si>
    <t>=M53</t>
  </si>
  <si>
    <t>=F55</t>
  </si>
  <si>
    <t>=D50*H50*D51</t>
  </si>
  <si>
    <t>=M56*J57</t>
  </si>
  <si>
    <t>=M58</t>
  </si>
  <si>
    <t>=F59</t>
  </si>
  <si>
    <t>=J23+F26</t>
  </si>
  <si>
    <t>=5*K62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</si>
</sst>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"/>
    <numFmt numFmtId="167" formatCode="0.000E+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2" fontId="1" fillId="0" borderId="8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quotePrefix="1" applyAlignment="1">
      <alignment horizontal="left" vertical="center" wrapText="1"/>
    </xf>
    <xf numFmtId="0" fontId="0" fillId="0" borderId="0" xfId="0" quotePrefix="1" applyAlignment="1">
      <alignment horizontal="left" vertical="top" wrapText="1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0" xfId="0" applyNumberFormat="1" applyFont="1"/>
    <xf numFmtId="0" fontId="5" fillId="0" borderId="0" xfId="0" applyFont="1" applyAlignment="1">
      <alignment horizontal="center"/>
    </xf>
    <xf numFmtId="165" fontId="5" fillId="0" borderId="7" xfId="0" applyNumberFormat="1" applyFont="1" applyBorder="1"/>
    <xf numFmtId="0" fontId="5" fillId="0" borderId="8" xfId="0" applyFont="1" applyBorder="1"/>
    <xf numFmtId="0" fontId="6" fillId="0" borderId="9" xfId="0" applyFont="1" applyBorder="1"/>
    <xf numFmtId="16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7" xfId="0" applyFont="1" applyBorder="1"/>
    <xf numFmtId="0" fontId="6" fillId="0" borderId="8" xfId="0" applyFont="1" applyBorder="1"/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quotePrefix="1" applyFont="1" applyBorder="1"/>
    <xf numFmtId="0" fontId="7" fillId="0" borderId="0" xfId="0" applyFont="1"/>
    <xf numFmtId="0" fontId="7" fillId="0" borderId="8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9" fillId="0" borderId="0" xfId="0" applyFont="1" applyAlignment="1">
      <alignment horizontal="center" vertical="center"/>
    </xf>
    <xf numFmtId="3" fontId="10" fillId="2" borderId="10" xfId="0" quotePrefix="1" applyNumberFormat="1" applyFont="1" applyFill="1" applyBorder="1" applyAlignment="1">
      <alignment horizontal="left"/>
    </xf>
    <xf numFmtId="0" fontId="10" fillId="2" borderId="10" xfId="0" quotePrefix="1" applyFont="1" applyFill="1" applyBorder="1" applyAlignment="1">
      <alignment horizontal="left"/>
    </xf>
    <xf numFmtId="3" fontId="10" fillId="2" borderId="10" xfId="0" quotePrefix="1" applyNumberFormat="1" applyFont="1" applyFill="1" applyBorder="1" applyAlignment="1">
      <alignment horizontal="center"/>
    </xf>
    <xf numFmtId="0" fontId="10" fillId="2" borderId="10" xfId="0" quotePrefix="1" applyFont="1" applyFill="1" applyBorder="1" applyAlignment="1">
      <alignment horizontal="center"/>
    </xf>
    <xf numFmtId="164" fontId="10" fillId="2" borderId="10" xfId="0" quotePrefix="1" applyNumberFormat="1" applyFont="1" applyFill="1" applyBorder="1" applyAlignment="1">
      <alignment horizontal="center"/>
    </xf>
    <xf numFmtId="0" fontId="10" fillId="2" borderId="10" xfId="0" quotePrefix="1" applyFont="1" applyFill="1" applyBorder="1" applyAlignment="1">
      <alignment horizontal="left" wrapText="1"/>
    </xf>
    <xf numFmtId="2" fontId="10" fillId="2" borderId="10" xfId="0" quotePrefix="1" applyNumberFormat="1" applyFont="1" applyFill="1" applyBorder="1" applyAlignment="1">
      <alignment horizontal="center"/>
    </xf>
    <xf numFmtId="0" fontId="10" fillId="2" borderId="10" xfId="0" quotePrefix="1" applyFont="1" applyFill="1" applyBorder="1" applyAlignment="1">
      <alignment horizontal="center" wrapText="1"/>
    </xf>
    <xf numFmtId="0" fontId="11" fillId="0" borderId="0" xfId="0" applyFont="1" applyBorder="1"/>
    <xf numFmtId="0" fontId="12" fillId="0" borderId="0" xfId="0" applyFont="1"/>
    <xf numFmtId="0" fontId="9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66" fontId="12" fillId="0" borderId="0" xfId="0" applyNumberFormat="1" applyFont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quotePrefix="1" applyFont="1" applyBorder="1" applyAlignment="1">
      <alignment horizontal="center"/>
    </xf>
    <xf numFmtId="0" fontId="9" fillId="0" borderId="0" xfId="0" quotePrefix="1" applyFont="1" applyBorder="1"/>
    <xf numFmtId="167" fontId="12" fillId="0" borderId="0" xfId="0" applyNumberFormat="1" applyFont="1" applyBorder="1" applyAlignment="1">
      <alignment horizontal="center"/>
    </xf>
    <xf numFmtId="167" fontId="12" fillId="0" borderId="0" xfId="0" applyNumberFormat="1" applyFont="1" applyBorder="1"/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0" fillId="0" borderId="0" xfId="0" applyFill="1"/>
    <xf numFmtId="0" fontId="0" fillId="0" borderId="10" xfId="0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0" xfId="0" applyFont="1"/>
    <xf numFmtId="0" fontId="4" fillId="0" borderId="0" xfId="0" applyFont="1" applyAlignment="1">
      <alignment horizontal="center"/>
    </xf>
    <xf numFmtId="16" fontId="0" fillId="0" borderId="0" xfId="0" applyNumberFormat="1" applyFont="1" applyAlignment="1">
      <alignment horizontal="center"/>
    </xf>
    <xf numFmtId="0" fontId="0" fillId="0" borderId="0" xfId="0" quotePrefix="1" applyNumberFormat="1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7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0" xfId="0" applyBorder="1" applyAlignment="1"/>
    <xf numFmtId="165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3" borderId="0" xfId="0" quotePrefix="1" applyFill="1" applyAlignment="1">
      <alignment horizontal="center" vertical="center"/>
    </xf>
    <xf numFmtId="0" fontId="0" fillId="3" borderId="0" xfId="0" applyFill="1"/>
    <xf numFmtId="0" fontId="0" fillId="2" borderId="0" xfId="0" quotePrefix="1" applyFill="1"/>
    <xf numFmtId="0" fontId="10" fillId="2" borderId="0" xfId="0" quotePrefix="1" applyFon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0" fillId="2" borderId="10" xfId="0" quotePrefix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2" fontId="10" fillId="2" borderId="10" xfId="0" quotePrefix="1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10" fillId="2" borderId="10" xfId="0" quotePrefix="1" applyFont="1" applyFill="1" applyBorder="1" applyAlignment="1">
      <alignment horizontal="right"/>
    </xf>
    <xf numFmtId="0" fontId="1" fillId="3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0" fillId="2" borderId="0" xfId="0" quotePrefix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8" xfId="0" quotePrefix="1" applyFont="1" applyFill="1" applyBorder="1" applyAlignment="1">
      <alignment horizontal="center"/>
    </xf>
    <xf numFmtId="165" fontId="9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454702</xdr:colOff>
      <xdr:row>32</xdr:row>
      <xdr:rowOff>24964</xdr:rowOff>
    </xdr:from>
    <xdr:to>
      <xdr:col>18</xdr:col>
      <xdr:colOff>617483</xdr:colOff>
      <xdr:row>46</xdr:row>
      <xdr:rowOff>128686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81E7C3-AB7E-4762-9E9D-5A45951C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392" y="6068412"/>
          <a:ext cx="3907091" cy="2796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137292</xdr:colOff>
      <xdr:row>51</xdr:row>
      <xdr:rowOff>103790</xdr:rowOff>
    </xdr:from>
    <xdr:to>
      <xdr:col>21</xdr:col>
      <xdr:colOff>597225</xdr:colOff>
      <xdr:row>61</xdr:row>
      <xdr:rowOff>1314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EC6794-6EA9-4C7D-AD0D-8FA96E01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5809" y="9760169"/>
          <a:ext cx="5715106" cy="1736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612509</xdr:colOff>
      <xdr:row>0</xdr:row>
      <xdr:rowOff>86710</xdr:rowOff>
    </xdr:from>
    <xdr:to>
      <xdr:col>38</xdr:col>
      <xdr:colOff>355855</xdr:colOff>
      <xdr:row>13</xdr:row>
      <xdr:rowOff>41761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A8BD50-D38D-4683-821F-11AFEBE06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1371" y="86710"/>
          <a:ext cx="5655415" cy="237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275896</xdr:colOff>
      <xdr:row>16</xdr:row>
      <xdr:rowOff>52552</xdr:rowOff>
    </xdr:from>
    <xdr:to>
      <xdr:col>39</xdr:col>
      <xdr:colOff>156141</xdr:colOff>
      <xdr:row>30</xdr:row>
      <xdr:rowOff>41632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95CA4B-C67B-4CCF-BD82-F27AF61D2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7862" y="3021724"/>
          <a:ext cx="7106107" cy="2695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381001</xdr:colOff>
      <xdr:row>32</xdr:row>
      <xdr:rowOff>52551</xdr:rowOff>
    </xdr:from>
    <xdr:to>
      <xdr:col>26</xdr:col>
      <xdr:colOff>525518</xdr:colOff>
      <xdr:row>48</xdr:row>
      <xdr:rowOff>10076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2D172D-0368-4243-8D9C-39A6B6C6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7794" y="6095999"/>
          <a:ext cx="4085896" cy="3018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170792</xdr:colOff>
      <xdr:row>33</xdr:row>
      <xdr:rowOff>144517</xdr:rowOff>
    </xdr:from>
    <xdr:to>
      <xdr:col>39</xdr:col>
      <xdr:colOff>181337</xdr:colOff>
      <xdr:row>44</xdr:row>
      <xdr:rowOff>114379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F351A92-A9C9-4E93-8950-79FADC10C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12758" y="6371896"/>
          <a:ext cx="7236407" cy="2111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324697</xdr:colOff>
      <xdr:row>49</xdr:row>
      <xdr:rowOff>28153</xdr:rowOff>
    </xdr:from>
    <xdr:to>
      <xdr:col>36</xdr:col>
      <xdr:colOff>157657</xdr:colOff>
      <xdr:row>62</xdr:row>
      <xdr:rowOff>51185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82B2917-57A6-4B8A-B5C3-993885443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1145" y="9316670"/>
          <a:ext cx="1803650" cy="2414136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1</xdr:row>
      <xdr:rowOff>0</xdr:rowOff>
    </xdr:from>
    <xdr:to>
      <xdr:col>20</xdr:col>
      <xdr:colOff>635403</xdr:colOff>
      <xdr:row>30</xdr:row>
      <xdr:rowOff>7620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51721" y="190500"/>
          <a:ext cx="4567322" cy="5463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454702</xdr:colOff>
      <xdr:row>32</xdr:row>
      <xdr:rowOff>24964</xdr:rowOff>
    </xdr:from>
    <xdr:to>
      <xdr:col>18</xdr:col>
      <xdr:colOff>617483</xdr:colOff>
      <xdr:row>47</xdr:row>
      <xdr:rowOff>67726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C81E7C3-AB7E-4762-9E9D-5A45951C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3422" y="6029524"/>
          <a:ext cx="3873721" cy="2785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137292</xdr:colOff>
      <xdr:row>51</xdr:row>
      <xdr:rowOff>103790</xdr:rowOff>
    </xdr:from>
    <xdr:to>
      <xdr:col>21</xdr:col>
      <xdr:colOff>597225</xdr:colOff>
      <xdr:row>61</xdr:row>
      <xdr:rowOff>1314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9EC6794-6EA9-4C7D-AD0D-8FA96E01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9402" y="9704990"/>
          <a:ext cx="5672013" cy="172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612509</xdr:colOff>
      <xdr:row>0</xdr:row>
      <xdr:rowOff>86710</xdr:rowOff>
    </xdr:from>
    <xdr:to>
      <xdr:col>38</xdr:col>
      <xdr:colOff>355855</xdr:colOff>
      <xdr:row>13</xdr:row>
      <xdr:rowOff>41761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5A8BD50-D38D-4683-821F-11AFEBE06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98779" y="86710"/>
          <a:ext cx="5606936" cy="235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275896</xdr:colOff>
      <xdr:row>16</xdr:row>
      <xdr:rowOff>52552</xdr:rowOff>
    </xdr:from>
    <xdr:to>
      <xdr:col>39</xdr:col>
      <xdr:colOff>156141</xdr:colOff>
      <xdr:row>30</xdr:row>
      <xdr:rowOff>41632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595CA4B-C67B-4CCF-BD82-F27AF61D2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10656" y="3001492"/>
          <a:ext cx="7046855" cy="2678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381001</xdr:colOff>
      <xdr:row>32</xdr:row>
      <xdr:rowOff>52551</xdr:rowOff>
    </xdr:from>
    <xdr:to>
      <xdr:col>26</xdr:col>
      <xdr:colOff>525518</xdr:colOff>
      <xdr:row>48</xdr:row>
      <xdr:rowOff>131996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82D172D-0368-4243-8D9C-39A6B6C6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3681" y="6057111"/>
          <a:ext cx="4053577" cy="300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170792</xdr:colOff>
      <xdr:row>33</xdr:row>
      <xdr:rowOff>144517</xdr:rowOff>
    </xdr:from>
    <xdr:to>
      <xdr:col>39</xdr:col>
      <xdr:colOff>181337</xdr:colOff>
      <xdr:row>45</xdr:row>
      <xdr:rowOff>53419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F351A92-A9C9-4E93-8950-79FADC10C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5552" y="6331957"/>
          <a:ext cx="7177155" cy="210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324697</xdr:colOff>
      <xdr:row>49</xdr:row>
      <xdr:rowOff>28153</xdr:rowOff>
    </xdr:from>
    <xdr:to>
      <xdr:col>36</xdr:col>
      <xdr:colOff>157657</xdr:colOff>
      <xdr:row>62</xdr:row>
      <xdr:rowOff>51185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82B2917-57A6-4B8A-B5C3-993885443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7007" y="9263593"/>
          <a:ext cx="1787490" cy="2400472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1</xdr:row>
      <xdr:rowOff>0</xdr:rowOff>
    </xdr:from>
    <xdr:to>
      <xdr:col>20</xdr:col>
      <xdr:colOff>635403</xdr:colOff>
      <xdr:row>30</xdr:row>
      <xdr:rowOff>7620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13621" y="186690"/>
          <a:ext cx="4544462" cy="5459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39</xdr:row>
      <xdr:rowOff>38100</xdr:rowOff>
    </xdr:from>
    <xdr:to>
      <xdr:col>20</xdr:col>
      <xdr:colOff>366426</xdr:colOff>
      <xdr:row>55</xdr:row>
      <xdr:rowOff>154517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8380" y="7185660"/>
          <a:ext cx="4305966" cy="3042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19050</xdr:colOff>
      <xdr:row>60</xdr:row>
      <xdr:rowOff>38100</xdr:rowOff>
    </xdr:from>
    <xdr:to>
      <xdr:col>22</xdr:col>
      <xdr:colOff>482793</xdr:colOff>
      <xdr:row>69</xdr:row>
      <xdr:rowOff>119556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330" y="11026140"/>
          <a:ext cx="5767263" cy="172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8164</xdr:colOff>
      <xdr:row>10</xdr:row>
      <xdr:rowOff>152400</xdr:rowOff>
    </xdr:from>
    <xdr:to>
      <xdr:col>32</xdr:col>
      <xdr:colOff>408407</xdr:colOff>
      <xdr:row>23</xdr:row>
      <xdr:rowOff>133726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844" y="1996440"/>
          <a:ext cx="5703763" cy="235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25</xdr:row>
      <xdr:rowOff>0</xdr:rowOff>
    </xdr:from>
    <xdr:to>
      <xdr:col>34</xdr:col>
      <xdr:colOff>537142</xdr:colOff>
      <xdr:row>39</xdr:row>
      <xdr:rowOff>130970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4587240"/>
          <a:ext cx="7166542" cy="269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44</xdr:row>
      <xdr:rowOff>0</xdr:rowOff>
    </xdr:from>
    <xdr:to>
      <xdr:col>31</xdr:col>
      <xdr:colOff>600075</xdr:colOff>
      <xdr:row>64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1960"/>
          <a:ext cx="524065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66</xdr:row>
      <xdr:rowOff>0</xdr:rowOff>
    </xdr:from>
    <xdr:to>
      <xdr:col>35</xdr:col>
      <xdr:colOff>10545</xdr:colOff>
      <xdr:row>77</xdr:row>
      <xdr:rowOff>88104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2085320"/>
          <a:ext cx="7302885" cy="2099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74</xdr:row>
      <xdr:rowOff>0</xdr:rowOff>
    </xdr:from>
    <xdr:to>
      <xdr:col>18</xdr:col>
      <xdr:colOff>589613</xdr:colOff>
      <xdr:row>97</xdr:row>
      <xdr:rowOff>124453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0280" y="13548360"/>
          <a:ext cx="3241373" cy="433069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20</xdr:col>
      <xdr:colOff>583151</xdr:colOff>
      <xdr:row>30</xdr:row>
      <xdr:rowOff>85997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73343" y="185057"/>
          <a:ext cx="4567322" cy="5463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view="pageLayout" topLeftCell="A39" zoomScale="67" zoomScaleNormal="70" zoomScalePageLayoutView="67" workbookViewId="0">
      <selection activeCell="W21" sqref="W21"/>
    </sheetView>
  </sheetViews>
  <sheetFormatPr baseColWidth="10" defaultColWidth="9.1015625" defaultRowHeight="14.4" x14ac:dyDescent="0.55000000000000004"/>
  <cols>
    <col min="1" max="1" width="4.68359375" customWidth="1"/>
    <col min="4" max="4" width="13.41796875" customWidth="1"/>
    <col min="5" max="5" width="11.5234375" customWidth="1"/>
    <col min="6" max="6" width="11.20703125" customWidth="1"/>
    <col min="7" max="7" width="11" customWidth="1"/>
    <col min="8" max="8" width="11.68359375" bestFit="1" customWidth="1"/>
    <col min="9" max="9" width="10.68359375" customWidth="1"/>
    <col min="10" max="10" width="13.68359375" customWidth="1"/>
    <col min="12" max="12" width="7.7890625" customWidth="1"/>
    <col min="13" max="13" width="6.3125" customWidth="1"/>
    <col min="14" max="14" width="9.1015625" customWidth="1"/>
  </cols>
  <sheetData>
    <row r="1" spans="1:14" ht="14.7" thickBot="1" x14ac:dyDescent="0.6">
      <c r="A1" s="61" t="s">
        <v>164</v>
      </c>
      <c r="B1" s="61" t="s">
        <v>165</v>
      </c>
      <c r="C1" s="61" t="s">
        <v>166</v>
      </c>
      <c r="D1" s="61" t="s">
        <v>167</v>
      </c>
      <c r="E1" s="61" t="s">
        <v>168</v>
      </c>
      <c r="F1" s="61" t="s">
        <v>169</v>
      </c>
      <c r="G1" s="61" t="s">
        <v>170</v>
      </c>
      <c r="H1" s="61" t="s">
        <v>171</v>
      </c>
      <c r="I1" s="61" t="s">
        <v>172</v>
      </c>
      <c r="J1" s="61" t="s">
        <v>173</v>
      </c>
      <c r="K1" s="61" t="s">
        <v>174</v>
      </c>
      <c r="L1" s="61" t="s">
        <v>175</v>
      </c>
      <c r="M1" s="61" t="s">
        <v>176</v>
      </c>
      <c r="N1" s="61"/>
    </row>
    <row r="2" spans="1:14" ht="14.7" thickBot="1" x14ac:dyDescent="0.6">
      <c r="A2" s="61">
        <v>2</v>
      </c>
      <c r="B2" s="58" t="s">
        <v>177</v>
      </c>
      <c r="C2" s="59" t="s">
        <v>178</v>
      </c>
      <c r="D2" s="59"/>
      <c r="E2" s="59"/>
      <c r="F2" s="60"/>
    </row>
    <row r="3" spans="1:14" x14ac:dyDescent="0.55000000000000004">
      <c r="A3" s="61">
        <v>3</v>
      </c>
      <c r="J3" s="8"/>
      <c r="K3" s="8"/>
    </row>
    <row r="4" spans="1:14" x14ac:dyDescent="0.55000000000000004">
      <c r="A4" s="61">
        <v>4</v>
      </c>
      <c r="B4" t="s">
        <v>5</v>
      </c>
      <c r="C4" s="122" t="s">
        <v>237</v>
      </c>
      <c r="F4" t="s">
        <v>6</v>
      </c>
      <c r="G4" s="120"/>
      <c r="I4" t="s">
        <v>7</v>
      </c>
      <c r="J4" s="120"/>
      <c r="K4" s="8"/>
    </row>
    <row r="5" spans="1:14" ht="15" customHeight="1" x14ac:dyDescent="0.55000000000000004">
      <c r="A5" s="61">
        <v>5</v>
      </c>
      <c r="C5" s="4"/>
      <c r="D5" s="4"/>
      <c r="E5" s="28"/>
      <c r="F5" s="28"/>
      <c r="G5" s="28"/>
      <c r="H5" s="28"/>
      <c r="I5" s="28"/>
      <c r="J5" s="4"/>
      <c r="K5" s="4"/>
    </row>
    <row r="6" spans="1:14" ht="15" customHeight="1" x14ac:dyDescent="0.55000000000000004">
      <c r="A6" s="61">
        <v>6</v>
      </c>
      <c r="B6" s="4"/>
      <c r="C6" s="31" t="s">
        <v>236</v>
      </c>
      <c r="D6" s="119"/>
      <c r="E6" s="29"/>
      <c r="F6" s="29"/>
      <c r="G6" s="29"/>
      <c r="H6" s="29"/>
      <c r="I6" s="29"/>
      <c r="J6" s="4"/>
      <c r="K6" s="4"/>
    </row>
    <row r="7" spans="1:14" x14ac:dyDescent="0.55000000000000004">
      <c r="A7" s="61">
        <v>7</v>
      </c>
      <c r="C7" s="12" t="s">
        <v>8</v>
      </c>
      <c r="D7" s="62" t="s">
        <v>179</v>
      </c>
      <c r="F7" t="s">
        <v>144</v>
      </c>
      <c r="H7" s="5" t="s">
        <v>8</v>
      </c>
      <c r="I7" s="123">
        <v>12</v>
      </c>
      <c r="J7" s="5" t="s">
        <v>145</v>
      </c>
    </row>
    <row r="8" spans="1:14" x14ac:dyDescent="0.55000000000000004">
      <c r="A8" s="61">
        <v>8</v>
      </c>
      <c r="B8" s="1"/>
      <c r="C8" s="13" t="s">
        <v>9</v>
      </c>
      <c r="D8" s="63" t="s">
        <v>180</v>
      </c>
      <c r="F8" t="s">
        <v>146</v>
      </c>
      <c r="H8" s="5" t="s">
        <v>147</v>
      </c>
      <c r="I8" s="123">
        <v>8</v>
      </c>
      <c r="J8" s="5" t="s">
        <v>148</v>
      </c>
    </row>
    <row r="9" spans="1:14" x14ac:dyDescent="0.55000000000000004">
      <c r="A9" s="61">
        <v>9</v>
      </c>
      <c r="B9" s="1"/>
      <c r="C9" s="13" t="s">
        <v>2</v>
      </c>
      <c r="D9" s="63" t="s">
        <v>181</v>
      </c>
      <c r="F9" t="s">
        <v>149</v>
      </c>
      <c r="H9" s="5" t="s">
        <v>150</v>
      </c>
      <c r="I9" s="64" t="s">
        <v>187</v>
      </c>
      <c r="J9" s="5" t="s">
        <v>49</v>
      </c>
    </row>
    <row r="10" spans="1:14" x14ac:dyDescent="0.55000000000000004">
      <c r="A10" s="61">
        <v>10</v>
      </c>
      <c r="B10" s="1"/>
      <c r="C10" s="13" t="s">
        <v>1</v>
      </c>
      <c r="D10" s="63" t="s">
        <v>182</v>
      </c>
      <c r="I10" s="5"/>
    </row>
    <row r="11" spans="1:14" x14ac:dyDescent="0.55000000000000004">
      <c r="A11" s="61">
        <v>11</v>
      </c>
      <c r="B11" s="1"/>
      <c r="C11" s="13" t="s">
        <v>12</v>
      </c>
      <c r="D11" s="63" t="s">
        <v>183</v>
      </c>
      <c r="H11" s="1"/>
      <c r="I11" s="5"/>
    </row>
    <row r="12" spans="1:14" x14ac:dyDescent="0.55000000000000004">
      <c r="A12" s="61">
        <v>12</v>
      </c>
      <c r="B12" s="1"/>
      <c r="C12" s="13" t="s">
        <v>10</v>
      </c>
      <c r="D12" s="63" t="s">
        <v>184</v>
      </c>
      <c r="H12" s="1"/>
      <c r="I12" s="5"/>
    </row>
    <row r="13" spans="1:14" x14ac:dyDescent="0.55000000000000004">
      <c r="A13" s="61">
        <v>13</v>
      </c>
      <c r="C13" s="13" t="s">
        <v>11</v>
      </c>
      <c r="D13" s="63" t="s">
        <v>185</v>
      </c>
      <c r="H13" s="1"/>
    </row>
    <row r="14" spans="1:14" x14ac:dyDescent="0.55000000000000004">
      <c r="A14" s="61">
        <v>14</v>
      </c>
      <c r="C14" s="14" t="s">
        <v>3</v>
      </c>
      <c r="D14" s="63" t="s">
        <v>186</v>
      </c>
      <c r="H14" s="1"/>
    </row>
    <row r="15" spans="1:14" x14ac:dyDescent="0.55000000000000004">
      <c r="A15" s="61">
        <v>15</v>
      </c>
      <c r="C15" s="5"/>
      <c r="D15" s="5"/>
      <c r="H15" s="1"/>
    </row>
    <row r="16" spans="1:14" x14ac:dyDescent="0.55000000000000004">
      <c r="A16" s="61">
        <v>16</v>
      </c>
      <c r="B16" t="s">
        <v>13</v>
      </c>
      <c r="C16" s="3"/>
      <c r="H16" s="1"/>
      <c r="I16" s="5"/>
      <c r="J16" s="1"/>
      <c r="K16" s="5"/>
    </row>
    <row r="17" spans="1:11" x14ac:dyDescent="0.55000000000000004">
      <c r="A17" s="61">
        <v>17</v>
      </c>
      <c r="C17" s="120" t="s">
        <v>14</v>
      </c>
      <c r="G17" s="1"/>
      <c r="H17" s="1"/>
      <c r="J17" s="1"/>
      <c r="K17" s="5"/>
    </row>
    <row r="18" spans="1:11" x14ac:dyDescent="0.55000000000000004">
      <c r="A18" s="61">
        <v>18</v>
      </c>
      <c r="C18" s="3"/>
      <c r="D18" s="120" t="s">
        <v>15</v>
      </c>
      <c r="G18" s="1"/>
      <c r="H18" s="1"/>
      <c r="J18" s="1"/>
      <c r="K18" s="5"/>
    </row>
    <row r="19" spans="1:11" x14ac:dyDescent="0.55000000000000004">
      <c r="A19" s="61">
        <v>19</v>
      </c>
      <c r="B19" s="3" t="s">
        <v>132</v>
      </c>
      <c r="E19" s="1"/>
      <c r="F19" s="1"/>
      <c r="G19" s="5"/>
      <c r="H19" s="5" t="s">
        <v>16</v>
      </c>
      <c r="I19" s="5" t="s">
        <v>133</v>
      </c>
      <c r="J19" s="65" t="s">
        <v>188</v>
      </c>
      <c r="K19" s="5" t="s">
        <v>17</v>
      </c>
    </row>
    <row r="20" spans="1:11" x14ac:dyDescent="0.55000000000000004">
      <c r="A20" s="61">
        <v>20</v>
      </c>
      <c r="C20" t="s">
        <v>238</v>
      </c>
      <c r="E20" s="1"/>
      <c r="F20" s="1"/>
      <c r="H20" s="1"/>
      <c r="I20" s="5" t="s">
        <v>155</v>
      </c>
      <c r="J20" s="123">
        <v>1.3</v>
      </c>
      <c r="K20" s="5"/>
    </row>
    <row r="21" spans="1:11" x14ac:dyDescent="0.55000000000000004">
      <c r="A21" s="61">
        <v>21</v>
      </c>
      <c r="D21" t="s">
        <v>156</v>
      </c>
      <c r="E21" s="2"/>
      <c r="F21" s="2"/>
      <c r="G21" s="5" t="s">
        <v>19</v>
      </c>
      <c r="H21" s="5" t="s">
        <v>20</v>
      </c>
      <c r="I21" s="5" t="s">
        <v>134</v>
      </c>
      <c r="J21" s="65" t="s">
        <v>189</v>
      </c>
      <c r="K21" s="5" t="s">
        <v>17</v>
      </c>
    </row>
    <row r="22" spans="1:11" x14ac:dyDescent="0.55000000000000004">
      <c r="A22" s="61">
        <v>22</v>
      </c>
      <c r="D22" s="3"/>
      <c r="E22" s="2"/>
      <c r="F22" s="2"/>
      <c r="G22" s="5" t="s">
        <v>21</v>
      </c>
      <c r="H22" s="5" t="s">
        <v>22</v>
      </c>
      <c r="I22" s="5" t="s">
        <v>135</v>
      </c>
      <c r="J22" s="65" t="s">
        <v>190</v>
      </c>
      <c r="K22" s="5" t="s">
        <v>17</v>
      </c>
    </row>
    <row r="23" spans="1:11" x14ac:dyDescent="0.55000000000000004">
      <c r="A23" s="61">
        <v>23</v>
      </c>
      <c r="E23" s="1"/>
      <c r="F23" s="1"/>
      <c r="G23" s="5"/>
      <c r="H23" s="5" t="s">
        <v>23</v>
      </c>
      <c r="I23" s="5" t="s">
        <v>136</v>
      </c>
      <c r="J23" s="65" t="s">
        <v>191</v>
      </c>
      <c r="K23" s="5" t="s">
        <v>24</v>
      </c>
    </row>
    <row r="24" spans="1:11" x14ac:dyDescent="0.55000000000000004">
      <c r="A24" s="61">
        <v>24</v>
      </c>
      <c r="E24" s="1"/>
      <c r="F24" s="1"/>
      <c r="G24" s="5"/>
      <c r="H24" s="5" t="s">
        <v>25</v>
      </c>
      <c r="I24" s="32" t="s">
        <v>137</v>
      </c>
      <c r="J24" s="65" t="s">
        <v>192</v>
      </c>
      <c r="K24" s="5" t="s">
        <v>24</v>
      </c>
    </row>
    <row r="25" spans="1:11" ht="24.6" customHeight="1" x14ac:dyDescent="0.55000000000000004">
      <c r="A25" s="61">
        <v>25</v>
      </c>
      <c r="D25" s="124" t="s">
        <v>157</v>
      </c>
      <c r="E25" s="67" t="s">
        <v>239</v>
      </c>
      <c r="F25" s="124" t="s">
        <v>26</v>
      </c>
      <c r="G25" s="5"/>
      <c r="J25" s="1"/>
      <c r="K25" s="5"/>
    </row>
    <row r="26" spans="1:11" x14ac:dyDescent="0.55000000000000004">
      <c r="A26" s="61">
        <v>26</v>
      </c>
      <c r="C26" s="6"/>
      <c r="D26" s="17" t="s">
        <v>27</v>
      </c>
      <c r="E26" s="126" t="s">
        <v>241</v>
      </c>
      <c r="F26" s="66" t="s">
        <v>242</v>
      </c>
      <c r="G26" s="20" t="s">
        <v>24</v>
      </c>
    </row>
    <row r="27" spans="1:11" x14ac:dyDescent="0.55000000000000004">
      <c r="A27" s="61">
        <v>27</v>
      </c>
      <c r="B27" s="3" t="s">
        <v>240</v>
      </c>
      <c r="I27" s="8"/>
    </row>
    <row r="28" spans="1:11" x14ac:dyDescent="0.55000000000000004">
      <c r="A28" s="61">
        <v>28</v>
      </c>
      <c r="C28" t="s">
        <v>238</v>
      </c>
      <c r="E28" s="1"/>
      <c r="F28" s="1"/>
      <c r="H28" s="1"/>
      <c r="I28" s="5" t="s">
        <v>27</v>
      </c>
      <c r="J28" s="123">
        <v>2</v>
      </c>
      <c r="K28" s="5" t="s">
        <v>24</v>
      </c>
    </row>
    <row r="29" spans="1:11" x14ac:dyDescent="0.55000000000000004">
      <c r="A29" s="61">
        <v>29</v>
      </c>
      <c r="D29" t="s">
        <v>156</v>
      </c>
      <c r="E29" s="2"/>
      <c r="F29" s="2"/>
      <c r="G29" s="5" t="s">
        <v>19</v>
      </c>
      <c r="H29" s="5" t="s">
        <v>20</v>
      </c>
      <c r="I29" s="5" t="s">
        <v>134</v>
      </c>
      <c r="J29" s="63" t="s">
        <v>189</v>
      </c>
      <c r="K29" s="5" t="s">
        <v>17</v>
      </c>
    </row>
    <row r="30" spans="1:11" x14ac:dyDescent="0.55000000000000004">
      <c r="A30" s="61">
        <v>30</v>
      </c>
      <c r="D30" s="3"/>
      <c r="E30" s="2"/>
      <c r="F30" s="2"/>
      <c r="G30" s="5" t="s">
        <v>21</v>
      </c>
      <c r="H30" s="5" t="s">
        <v>22</v>
      </c>
      <c r="I30" s="5" t="s">
        <v>135</v>
      </c>
      <c r="J30" s="63" t="s">
        <v>190</v>
      </c>
      <c r="K30" s="5" t="s">
        <v>17</v>
      </c>
    </row>
    <row r="31" spans="1:11" x14ac:dyDescent="0.55000000000000004">
      <c r="A31" s="61">
        <v>31</v>
      </c>
      <c r="E31" s="1"/>
      <c r="F31" s="1"/>
      <c r="G31" s="5"/>
      <c r="H31" s="5" t="s">
        <v>23</v>
      </c>
      <c r="I31" s="5" t="s">
        <v>136</v>
      </c>
      <c r="J31" s="65" t="s">
        <v>191</v>
      </c>
      <c r="K31" s="5" t="s">
        <v>24</v>
      </c>
    </row>
    <row r="32" spans="1:11" x14ac:dyDescent="0.55000000000000004">
      <c r="A32" s="61">
        <v>32</v>
      </c>
      <c r="E32" s="1"/>
      <c r="F32" s="1"/>
      <c r="G32" s="5"/>
      <c r="H32" s="5" t="s">
        <v>25</v>
      </c>
      <c r="I32" s="32" t="s">
        <v>137</v>
      </c>
      <c r="J32" s="65" t="s">
        <v>192</v>
      </c>
      <c r="K32" s="5" t="s">
        <v>24</v>
      </c>
    </row>
    <row r="33" spans="1:13" s="86" customFormat="1" x14ac:dyDescent="0.55000000000000004">
      <c r="A33" s="61">
        <v>33</v>
      </c>
      <c r="B33" s="61" t="s">
        <v>165</v>
      </c>
      <c r="C33" s="61" t="s">
        <v>166</v>
      </c>
      <c r="D33" s="61" t="s">
        <v>167</v>
      </c>
      <c r="E33" s="61" t="s">
        <v>168</v>
      </c>
      <c r="F33" s="61" t="s">
        <v>169</v>
      </c>
      <c r="G33" s="61" t="s">
        <v>170</v>
      </c>
      <c r="H33" s="61" t="s">
        <v>171</v>
      </c>
      <c r="I33" s="61" t="s">
        <v>172</v>
      </c>
      <c r="J33" s="61" t="s">
        <v>173</v>
      </c>
      <c r="K33" s="61" t="s">
        <v>174</v>
      </c>
      <c r="L33" s="61" t="s">
        <v>175</v>
      </c>
      <c r="M33" s="61" t="s">
        <v>176</v>
      </c>
    </row>
    <row r="34" spans="1:13" ht="24" x14ac:dyDescent="0.55000000000000004">
      <c r="A34" s="61">
        <v>34</v>
      </c>
      <c r="D34" s="5" t="s">
        <v>243</v>
      </c>
      <c r="E34" s="69" t="s">
        <v>244</v>
      </c>
      <c r="F34" s="5" t="s">
        <v>26</v>
      </c>
      <c r="G34" s="5"/>
      <c r="J34" s="1"/>
      <c r="K34" s="5"/>
    </row>
    <row r="35" spans="1:13" x14ac:dyDescent="0.55000000000000004">
      <c r="A35" s="61">
        <v>35</v>
      </c>
      <c r="C35" s="6"/>
      <c r="D35" s="127" t="s">
        <v>245</v>
      </c>
      <c r="E35" s="18"/>
      <c r="F35" s="68" t="s">
        <v>246</v>
      </c>
      <c r="G35" s="20" t="s">
        <v>17</v>
      </c>
    </row>
    <row r="36" spans="1:13" x14ac:dyDescent="0.55000000000000004">
      <c r="A36" s="61">
        <v>36</v>
      </c>
      <c r="I36" s="1"/>
      <c r="J36" s="7"/>
    </row>
    <row r="37" spans="1:13" x14ac:dyDescent="0.55000000000000004">
      <c r="A37" s="61">
        <v>37</v>
      </c>
      <c r="B37" s="3" t="s">
        <v>29</v>
      </c>
      <c r="H37" s="1"/>
      <c r="I37" s="9"/>
      <c r="K37" s="10"/>
    </row>
    <row r="38" spans="1:13" x14ac:dyDescent="0.55000000000000004">
      <c r="A38" s="61">
        <v>38</v>
      </c>
      <c r="C38" t="s">
        <v>30</v>
      </c>
    </row>
    <row r="39" spans="1:13" x14ac:dyDescent="0.55000000000000004">
      <c r="A39" s="61">
        <v>39</v>
      </c>
      <c r="D39" s="17" t="s">
        <v>31</v>
      </c>
      <c r="E39" s="21" t="s">
        <v>247</v>
      </c>
      <c r="F39" s="21"/>
      <c r="G39" s="128" t="s">
        <v>248</v>
      </c>
      <c r="H39" s="20" t="s">
        <v>17</v>
      </c>
      <c r="I39" s="1"/>
      <c r="J39" s="8"/>
    </row>
    <row r="40" spans="1:13" x14ac:dyDescent="0.55000000000000004">
      <c r="A40" s="61">
        <v>40</v>
      </c>
      <c r="D40" t="s">
        <v>35</v>
      </c>
      <c r="G40" s="2"/>
      <c r="J40" s="11"/>
    </row>
    <row r="41" spans="1:13" x14ac:dyDescent="0.55000000000000004">
      <c r="A41" s="61">
        <v>41</v>
      </c>
      <c r="C41" s="120" t="s">
        <v>140</v>
      </c>
      <c r="G41" s="2"/>
      <c r="J41" s="11"/>
    </row>
    <row r="42" spans="1:13" x14ac:dyDescent="0.55000000000000004">
      <c r="A42" s="61">
        <v>42</v>
      </c>
      <c r="D42" s="3" t="s">
        <v>141</v>
      </c>
      <c r="G42" s="2"/>
      <c r="H42" t="s">
        <v>142</v>
      </c>
      <c r="I42" s="68" t="s">
        <v>249</v>
      </c>
      <c r="J42" s="11" t="s">
        <v>17</v>
      </c>
    </row>
    <row r="43" spans="1:13" x14ac:dyDescent="0.55000000000000004">
      <c r="A43" s="61">
        <v>43</v>
      </c>
      <c r="G43" s="2"/>
      <c r="J43" s="11"/>
    </row>
    <row r="44" spans="1:13" x14ac:dyDescent="0.55000000000000004">
      <c r="A44" s="61">
        <v>44</v>
      </c>
      <c r="B44" s="3" t="s">
        <v>36</v>
      </c>
      <c r="D44" s="3"/>
      <c r="I44" s="2"/>
      <c r="J44" s="11"/>
      <c r="K44" s="3"/>
      <c r="L44" s="3"/>
    </row>
    <row r="45" spans="1:13" x14ac:dyDescent="0.55000000000000004">
      <c r="A45" s="61">
        <v>45</v>
      </c>
      <c r="C45" t="s">
        <v>37</v>
      </c>
      <c r="D45" s="3"/>
      <c r="E45" s="5" t="s">
        <v>38</v>
      </c>
      <c r="F45" s="123">
        <v>4</v>
      </c>
      <c r="I45" s="2"/>
      <c r="J45" s="11"/>
      <c r="K45" s="3"/>
      <c r="L45" s="3"/>
    </row>
    <row r="46" spans="1:13" x14ac:dyDescent="0.55000000000000004">
      <c r="A46" s="61">
        <v>46</v>
      </c>
      <c r="C46" t="s">
        <v>39</v>
      </c>
      <c r="E46" s="5" t="s">
        <v>40</v>
      </c>
      <c r="F46" s="123">
        <v>0.96</v>
      </c>
      <c r="G46" t="s">
        <v>143</v>
      </c>
    </row>
    <row r="47" spans="1:13" x14ac:dyDescent="0.55000000000000004">
      <c r="A47" s="61">
        <v>47</v>
      </c>
      <c r="C47" s="17" t="s">
        <v>41</v>
      </c>
      <c r="D47" s="21" t="s">
        <v>250</v>
      </c>
      <c r="E47" s="21"/>
      <c r="F47" s="128" t="s">
        <v>251</v>
      </c>
      <c r="G47" s="20" t="s">
        <v>17</v>
      </c>
    </row>
    <row r="48" spans="1:13" x14ac:dyDescent="0.55000000000000004">
      <c r="A48" s="61">
        <v>48</v>
      </c>
    </row>
    <row r="49" spans="1:13" x14ac:dyDescent="0.55000000000000004">
      <c r="A49" s="61">
        <v>49</v>
      </c>
      <c r="B49" s="3" t="s">
        <v>43</v>
      </c>
    </row>
    <row r="50" spans="1:13" x14ac:dyDescent="0.55000000000000004">
      <c r="A50" s="61">
        <v>50</v>
      </c>
      <c r="C50" t="s">
        <v>44</v>
      </c>
      <c r="D50" s="130" t="s">
        <v>253</v>
      </c>
      <c r="F50" t="s">
        <v>45</v>
      </c>
      <c r="H50" s="123">
        <v>260</v>
      </c>
      <c r="I50" t="s">
        <v>46</v>
      </c>
    </row>
    <row r="51" spans="1:13" x14ac:dyDescent="0.55000000000000004">
      <c r="A51" s="61">
        <v>51</v>
      </c>
      <c r="C51" t="s">
        <v>47</v>
      </c>
      <c r="D51" s="130" t="s">
        <v>252</v>
      </c>
      <c r="F51" t="s">
        <v>48</v>
      </c>
      <c r="H51" s="64" t="s">
        <v>193</v>
      </c>
      <c r="I51" t="s">
        <v>49</v>
      </c>
    </row>
    <row r="52" spans="1:13" x14ac:dyDescent="0.55000000000000004">
      <c r="A52" s="61">
        <v>52</v>
      </c>
      <c r="C52" t="s">
        <v>50</v>
      </c>
      <c r="E52" s="68" t="s">
        <v>254</v>
      </c>
    </row>
    <row r="53" spans="1:13" x14ac:dyDescent="0.55000000000000004">
      <c r="A53" s="61">
        <v>53</v>
      </c>
      <c r="C53" t="s">
        <v>51</v>
      </c>
      <c r="E53" t="s">
        <v>151</v>
      </c>
      <c r="J53" s="131" t="s">
        <v>255</v>
      </c>
      <c r="K53" t="s">
        <v>52</v>
      </c>
      <c r="L53" t="s">
        <v>54</v>
      </c>
      <c r="M53" s="123" t="s">
        <v>256</v>
      </c>
    </row>
    <row r="54" spans="1:13" x14ac:dyDescent="0.55000000000000004">
      <c r="A54" s="61">
        <v>54</v>
      </c>
      <c r="C54" t="s">
        <v>53</v>
      </c>
      <c r="F54" s="123" t="s">
        <v>55</v>
      </c>
      <c r="G54" s="23"/>
    </row>
    <row r="55" spans="1:13" x14ac:dyDescent="0.55000000000000004">
      <c r="A55" s="61">
        <v>55</v>
      </c>
      <c r="C55" s="24" t="s">
        <v>57</v>
      </c>
      <c r="D55" s="25"/>
      <c r="E55" s="25"/>
      <c r="F55" s="136" t="s">
        <v>258</v>
      </c>
      <c r="G55" s="136" t="s">
        <v>259</v>
      </c>
      <c r="H55" s="26" t="s">
        <v>56</v>
      </c>
      <c r="I55" s="132" t="s">
        <v>257</v>
      </c>
    </row>
    <row r="56" spans="1:13" x14ac:dyDescent="0.55000000000000004">
      <c r="A56" s="61">
        <v>56</v>
      </c>
      <c r="C56" t="s">
        <v>58</v>
      </c>
      <c r="F56" s="120" t="s">
        <v>59</v>
      </c>
      <c r="L56" s="5" t="s">
        <v>63</v>
      </c>
      <c r="M56" s="123">
        <v>0.5</v>
      </c>
    </row>
    <row r="57" spans="1:13" x14ac:dyDescent="0.55000000000000004">
      <c r="A57" s="61">
        <v>57</v>
      </c>
      <c r="C57" t="s">
        <v>60</v>
      </c>
      <c r="F57" t="s">
        <v>152</v>
      </c>
      <c r="J57" s="134" t="s">
        <v>260</v>
      </c>
      <c r="K57" s="5" t="s">
        <v>61</v>
      </c>
      <c r="M57" s="5"/>
    </row>
    <row r="58" spans="1:13" x14ac:dyDescent="0.55000000000000004">
      <c r="A58" s="61">
        <v>58</v>
      </c>
      <c r="C58" t="s">
        <v>62</v>
      </c>
      <c r="H58" s="134" t="s">
        <v>261</v>
      </c>
      <c r="I58" s="5" t="s">
        <v>61</v>
      </c>
      <c r="K58" t="s">
        <v>64</v>
      </c>
      <c r="M58" s="123" t="s">
        <v>65</v>
      </c>
    </row>
    <row r="59" spans="1:13" x14ac:dyDescent="0.55000000000000004">
      <c r="A59" s="61">
        <v>59</v>
      </c>
      <c r="C59" t="s">
        <v>66</v>
      </c>
      <c r="F59" s="123" t="s">
        <v>67</v>
      </c>
      <c r="G59" s="23"/>
    </row>
    <row r="60" spans="1:13" x14ac:dyDescent="0.55000000000000004">
      <c r="A60" s="61">
        <v>60</v>
      </c>
      <c r="C60" s="24" t="s">
        <v>68</v>
      </c>
      <c r="D60" s="25"/>
      <c r="E60" s="25"/>
      <c r="F60" s="136" t="s">
        <v>262</v>
      </c>
      <c r="G60" s="136" t="s">
        <v>263</v>
      </c>
      <c r="H60" s="26" t="s">
        <v>56</v>
      </c>
      <c r="I60" s="132" t="s">
        <v>69</v>
      </c>
    </row>
    <row r="61" spans="1:13" x14ac:dyDescent="0.55000000000000004">
      <c r="A61" s="61">
        <v>61</v>
      </c>
      <c r="B61" s="3" t="s">
        <v>70</v>
      </c>
    </row>
    <row r="62" spans="1:13" x14ac:dyDescent="0.55000000000000004">
      <c r="A62" s="61">
        <v>62</v>
      </c>
      <c r="C62" t="s">
        <v>71</v>
      </c>
      <c r="I62" s="5" t="s">
        <v>78</v>
      </c>
      <c r="J62" s="5" t="s">
        <v>72</v>
      </c>
      <c r="K62" s="68" t="s">
        <v>264</v>
      </c>
      <c r="L62" s="5" t="s">
        <v>24</v>
      </c>
    </row>
    <row r="63" spans="1:13" x14ac:dyDescent="0.55000000000000004">
      <c r="A63" s="61">
        <v>63</v>
      </c>
      <c r="C63" t="s">
        <v>73</v>
      </c>
    </row>
    <row r="64" spans="1:13" x14ac:dyDescent="0.55000000000000004">
      <c r="A64" s="61">
        <v>64</v>
      </c>
      <c r="C64" s="120" t="s">
        <v>74</v>
      </c>
      <c r="E64" t="s">
        <v>75</v>
      </c>
      <c r="G64" s="27" t="s">
        <v>76</v>
      </c>
      <c r="H64" s="18" t="s">
        <v>79</v>
      </c>
      <c r="I64" s="68" t="s">
        <v>265</v>
      </c>
      <c r="J64" s="20" t="s">
        <v>24</v>
      </c>
    </row>
    <row r="65" spans="1:15" x14ac:dyDescent="0.55000000000000004">
      <c r="A65" s="6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</row>
    <row r="66" spans="1:15" x14ac:dyDescent="0.55000000000000004">
      <c r="A66" s="61"/>
      <c r="B66" s="72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0"/>
    </row>
    <row r="67" spans="1:15" x14ac:dyDescent="0.55000000000000004">
      <c r="A67" s="61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0"/>
    </row>
    <row r="68" spans="1:15" x14ac:dyDescent="0.55000000000000004">
      <c r="A68" s="61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0"/>
    </row>
    <row r="69" spans="1:15" x14ac:dyDescent="0.55000000000000004">
      <c r="A69" s="61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0"/>
    </row>
    <row r="70" spans="1:15" x14ac:dyDescent="0.55000000000000004">
      <c r="A70" s="61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0"/>
    </row>
    <row r="71" spans="1:15" x14ac:dyDescent="0.55000000000000004">
      <c r="A71" s="61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0"/>
    </row>
    <row r="72" spans="1:15" x14ac:dyDescent="0.55000000000000004">
      <c r="A72" s="61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0"/>
    </row>
    <row r="73" spans="1:15" x14ac:dyDescent="0.55000000000000004">
      <c r="A73" s="61"/>
      <c r="B73" s="73"/>
      <c r="C73" s="73"/>
      <c r="D73" s="73"/>
      <c r="E73" s="73"/>
      <c r="F73" s="73"/>
      <c r="G73" s="74"/>
      <c r="H73" s="73"/>
      <c r="I73" s="74"/>
      <c r="J73" s="75"/>
      <c r="K73" s="74"/>
      <c r="L73" s="76"/>
      <c r="M73" s="77"/>
      <c r="N73" s="74"/>
      <c r="O73" s="70"/>
    </row>
    <row r="74" spans="1:15" x14ac:dyDescent="0.55000000000000004">
      <c r="A74" s="61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0"/>
    </row>
    <row r="75" spans="1:15" x14ac:dyDescent="0.55000000000000004">
      <c r="A75" s="61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0"/>
    </row>
    <row r="76" spans="1:15" x14ac:dyDescent="0.55000000000000004">
      <c r="A76" s="61"/>
      <c r="B76" s="73"/>
      <c r="C76" s="72"/>
      <c r="D76" s="73"/>
      <c r="E76" s="73"/>
      <c r="F76" s="73"/>
      <c r="G76" s="78"/>
      <c r="H76" s="79"/>
      <c r="I76" s="80"/>
      <c r="J76" s="79"/>
      <c r="K76" s="79"/>
      <c r="L76" s="73"/>
      <c r="M76" s="73"/>
      <c r="N76" s="73"/>
      <c r="O76" s="70"/>
    </row>
    <row r="77" spans="1:15" x14ac:dyDescent="0.55000000000000004">
      <c r="A77" s="61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7"/>
      <c r="N77" s="74"/>
      <c r="O77" s="70"/>
    </row>
    <row r="78" spans="1:15" x14ac:dyDescent="0.55000000000000004">
      <c r="A78" s="61"/>
      <c r="B78" s="73"/>
      <c r="C78" s="72"/>
      <c r="D78" s="73"/>
      <c r="E78" s="73"/>
      <c r="F78" s="78"/>
      <c r="G78" s="79"/>
      <c r="H78" s="81"/>
      <c r="I78" s="79"/>
      <c r="J78" s="79"/>
      <c r="K78" s="73"/>
      <c r="L78" s="73"/>
      <c r="M78" s="73"/>
      <c r="N78" s="73"/>
      <c r="O78" s="70"/>
    </row>
    <row r="79" spans="1:15" x14ac:dyDescent="0.55000000000000004">
      <c r="A79" s="61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0"/>
    </row>
    <row r="80" spans="1:15" x14ac:dyDescent="0.55000000000000004">
      <c r="A80" s="61"/>
      <c r="B80" s="72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0"/>
    </row>
    <row r="81" spans="1:15" x14ac:dyDescent="0.55000000000000004">
      <c r="A81" s="61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0"/>
    </row>
    <row r="82" spans="1:15" x14ac:dyDescent="0.55000000000000004">
      <c r="A82" s="61"/>
      <c r="B82" s="73"/>
      <c r="C82" s="73"/>
      <c r="D82" s="73"/>
      <c r="E82" s="74"/>
      <c r="F82" s="74"/>
      <c r="G82" s="74"/>
      <c r="H82" s="74"/>
      <c r="I82" s="74"/>
      <c r="J82" s="74"/>
      <c r="K82" s="74"/>
      <c r="L82" s="74"/>
      <c r="M82" s="74"/>
      <c r="N82" s="73"/>
      <c r="O82" s="70"/>
    </row>
    <row r="83" spans="1:15" x14ac:dyDescent="0.55000000000000004">
      <c r="A83" s="61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0"/>
    </row>
    <row r="84" spans="1:15" x14ac:dyDescent="0.55000000000000004">
      <c r="A84" s="61"/>
      <c r="B84" s="73"/>
      <c r="C84" s="73"/>
      <c r="D84" s="73"/>
      <c r="E84" s="73"/>
      <c r="F84" s="74"/>
      <c r="G84" s="74"/>
      <c r="H84" s="73"/>
      <c r="I84" s="73"/>
      <c r="J84" s="73"/>
      <c r="K84" s="73"/>
      <c r="L84" s="74"/>
      <c r="M84" s="74"/>
      <c r="N84" s="73"/>
      <c r="O84" s="70"/>
    </row>
    <row r="85" spans="1:15" x14ac:dyDescent="0.55000000000000004">
      <c r="A85" s="61"/>
      <c r="B85" s="73"/>
      <c r="C85" s="73"/>
      <c r="D85" s="73"/>
      <c r="E85" s="73"/>
      <c r="F85" s="73"/>
      <c r="G85" s="74"/>
      <c r="H85" s="74"/>
      <c r="I85" s="73"/>
      <c r="J85" s="73"/>
      <c r="K85" s="73"/>
      <c r="L85" s="73"/>
      <c r="M85" s="73"/>
      <c r="N85" s="73"/>
      <c r="O85" s="70"/>
    </row>
    <row r="86" spans="1:15" x14ac:dyDescent="0.55000000000000004">
      <c r="A86" s="61"/>
      <c r="B86" s="73"/>
      <c r="C86" s="73"/>
      <c r="D86" s="73"/>
      <c r="E86" s="73"/>
      <c r="F86" s="73"/>
      <c r="G86" s="82"/>
      <c r="H86" s="74"/>
      <c r="I86" s="73"/>
      <c r="J86" s="73"/>
      <c r="K86" s="73"/>
      <c r="L86" s="73"/>
      <c r="M86" s="73"/>
      <c r="N86" s="73"/>
      <c r="O86" s="70"/>
    </row>
    <row r="87" spans="1:15" x14ac:dyDescent="0.55000000000000004">
      <c r="A87" s="61"/>
      <c r="B87" s="73"/>
      <c r="C87" s="73"/>
      <c r="D87" s="73"/>
      <c r="E87" s="73"/>
      <c r="F87" s="74"/>
      <c r="G87" s="74"/>
      <c r="H87" s="73"/>
      <c r="I87" s="73"/>
      <c r="J87" s="73"/>
      <c r="K87" s="73"/>
      <c r="L87" s="73"/>
      <c r="M87" s="73"/>
      <c r="N87" s="73"/>
      <c r="O87" s="70"/>
    </row>
    <row r="88" spans="1:15" x14ac:dyDescent="0.55000000000000004">
      <c r="A88" s="61"/>
      <c r="B88" s="73"/>
      <c r="C88" s="73"/>
      <c r="D88" s="73"/>
      <c r="E88" s="73"/>
      <c r="F88" s="73"/>
      <c r="G88" s="82"/>
      <c r="H88" s="74"/>
      <c r="I88" s="73"/>
      <c r="J88" s="73"/>
      <c r="K88" s="73"/>
      <c r="L88" s="73"/>
      <c r="M88" s="73"/>
      <c r="N88" s="73"/>
      <c r="O88" s="70"/>
    </row>
    <row r="89" spans="1:15" x14ac:dyDescent="0.55000000000000004">
      <c r="A89" s="61"/>
      <c r="B89" s="73"/>
      <c r="C89" s="73"/>
      <c r="D89" s="73"/>
      <c r="E89" s="73"/>
      <c r="F89" s="73"/>
      <c r="G89" s="73"/>
      <c r="H89" s="83"/>
      <c r="I89" s="73"/>
      <c r="J89" s="73"/>
      <c r="K89" s="73"/>
      <c r="L89" s="73"/>
      <c r="M89" s="73"/>
      <c r="N89" s="73"/>
      <c r="O89" s="70"/>
    </row>
    <row r="90" spans="1:15" x14ac:dyDescent="0.55000000000000004">
      <c r="A90" s="61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0"/>
    </row>
    <row r="91" spans="1:15" x14ac:dyDescent="0.55000000000000004">
      <c r="A91" s="61"/>
      <c r="B91" s="73"/>
      <c r="C91" s="73"/>
      <c r="D91" s="73"/>
      <c r="E91" s="79"/>
      <c r="F91" s="79"/>
      <c r="G91" s="79"/>
      <c r="H91" s="79"/>
      <c r="I91" s="79"/>
      <c r="J91" s="79"/>
      <c r="K91" s="79"/>
      <c r="L91" s="79"/>
      <c r="M91" s="79"/>
      <c r="N91" s="73"/>
      <c r="O91" s="70"/>
    </row>
    <row r="92" spans="1:15" x14ac:dyDescent="0.55000000000000004">
      <c r="A92" s="61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0"/>
    </row>
    <row r="93" spans="1:15" x14ac:dyDescent="0.55000000000000004">
      <c r="A93" s="61"/>
      <c r="B93" s="73"/>
      <c r="C93" s="73"/>
      <c r="D93" s="73"/>
      <c r="E93" s="73"/>
      <c r="F93" s="74"/>
      <c r="G93" s="74"/>
      <c r="H93" s="73"/>
      <c r="I93" s="73"/>
      <c r="J93" s="73"/>
      <c r="K93" s="73"/>
      <c r="L93" s="74"/>
      <c r="M93" s="74"/>
      <c r="N93" s="73"/>
      <c r="O93" s="70"/>
    </row>
    <row r="94" spans="1:15" x14ac:dyDescent="0.55000000000000004">
      <c r="A94" s="61"/>
      <c r="B94" s="71"/>
      <c r="C94" s="71"/>
      <c r="D94" s="71"/>
      <c r="E94" s="71"/>
      <c r="F94" s="71"/>
      <c r="G94" s="84"/>
      <c r="H94" s="84"/>
      <c r="I94" s="71"/>
      <c r="J94" s="71"/>
      <c r="K94" s="71"/>
      <c r="L94" s="71"/>
      <c r="M94" s="71"/>
      <c r="N94" s="71"/>
    </row>
    <row r="95" spans="1:15" x14ac:dyDescent="0.55000000000000004">
      <c r="A95" s="61"/>
      <c r="B95" s="71"/>
      <c r="C95" s="71"/>
      <c r="D95" s="71"/>
      <c r="E95" s="71"/>
      <c r="F95" s="71"/>
      <c r="G95" s="85"/>
      <c r="H95" s="84"/>
      <c r="I95" s="71"/>
      <c r="J95" s="71"/>
      <c r="K95" s="71"/>
      <c r="L95" s="71"/>
      <c r="M95" s="71"/>
      <c r="N95" s="71"/>
    </row>
    <row r="96" spans="1:15" x14ac:dyDescent="0.55000000000000004">
      <c r="A96" s="61"/>
      <c r="B96" s="71"/>
      <c r="C96" s="71"/>
      <c r="D96" s="71"/>
      <c r="E96" s="71"/>
      <c r="F96" s="84"/>
      <c r="G96" s="84"/>
      <c r="H96" s="71"/>
      <c r="I96" s="71"/>
      <c r="J96" s="71"/>
      <c r="K96" s="71"/>
      <c r="L96" s="71"/>
      <c r="M96" s="71"/>
      <c r="N96" s="71"/>
    </row>
    <row r="97" spans="1:14" x14ac:dyDescent="0.55000000000000004">
      <c r="A97" s="61"/>
      <c r="B97" s="71"/>
      <c r="C97" s="71"/>
      <c r="D97" s="71"/>
      <c r="E97" s="71"/>
      <c r="F97" s="71"/>
      <c r="G97" s="85"/>
      <c r="H97" s="84"/>
      <c r="I97" s="71"/>
      <c r="J97" s="71"/>
      <c r="K97" s="71"/>
      <c r="L97" s="71"/>
      <c r="M97" s="71"/>
      <c r="N97" s="71"/>
    </row>
    <row r="98" spans="1:14" x14ac:dyDescent="0.55000000000000004">
      <c r="A98" s="61"/>
      <c r="B98" s="71"/>
      <c r="C98" s="71"/>
      <c r="D98" s="71"/>
      <c r="E98" s="71"/>
      <c r="F98" s="73"/>
      <c r="G98" s="73"/>
      <c r="H98" s="137"/>
      <c r="I98" s="72"/>
      <c r="J98" s="72"/>
      <c r="K98" s="72"/>
      <c r="L98" s="73"/>
      <c r="M98" s="73"/>
      <c r="N98" s="71"/>
    </row>
    <row r="99" spans="1:14" x14ac:dyDescent="0.55000000000000004">
      <c r="A99" s="61"/>
      <c r="F99" s="93"/>
      <c r="G99" s="93"/>
      <c r="H99" s="93"/>
      <c r="I99" s="93"/>
      <c r="J99" s="93"/>
      <c r="K99" s="93"/>
      <c r="L99" s="93"/>
      <c r="M99" s="93"/>
    </row>
    <row r="100" spans="1:14" x14ac:dyDescent="0.55000000000000004">
      <c r="A100" s="61"/>
    </row>
    <row r="101" spans="1:14" x14ac:dyDescent="0.55000000000000004">
      <c r="A101" s="61"/>
    </row>
    <row r="102" spans="1:14" x14ac:dyDescent="0.55000000000000004">
      <c r="A102" s="61"/>
    </row>
    <row r="103" spans="1:14" x14ac:dyDescent="0.55000000000000004">
      <c r="A103" s="61"/>
    </row>
    <row r="104" spans="1:14" x14ac:dyDescent="0.55000000000000004">
      <c r="A104" s="61"/>
    </row>
    <row r="105" spans="1:14" x14ac:dyDescent="0.55000000000000004">
      <c r="A105" s="61"/>
    </row>
    <row r="106" spans="1:14" x14ac:dyDescent="0.55000000000000004">
      <c r="A106" s="61"/>
    </row>
    <row r="107" spans="1:14" x14ac:dyDescent="0.55000000000000004">
      <c r="A107" s="61"/>
    </row>
    <row r="108" spans="1:14" x14ac:dyDescent="0.55000000000000004">
      <c r="A108" s="61"/>
    </row>
    <row r="109" spans="1:14" x14ac:dyDescent="0.55000000000000004">
      <c r="A109" s="61"/>
    </row>
    <row r="110" spans="1:14" x14ac:dyDescent="0.55000000000000004">
      <c r="A110" s="61"/>
    </row>
    <row r="111" spans="1:14" x14ac:dyDescent="0.55000000000000004">
      <c r="A111" s="61"/>
    </row>
    <row r="112" spans="1:14" x14ac:dyDescent="0.55000000000000004">
      <c r="A112" s="61"/>
    </row>
    <row r="113" spans="1:1" x14ac:dyDescent="0.55000000000000004">
      <c r="A113" s="61"/>
    </row>
    <row r="114" spans="1:1" x14ac:dyDescent="0.55000000000000004">
      <c r="A114" s="61"/>
    </row>
    <row r="115" spans="1:1" x14ac:dyDescent="0.55000000000000004">
      <c r="A115" s="61"/>
    </row>
    <row r="116" spans="1:1" x14ac:dyDescent="0.55000000000000004">
      <c r="A116" s="61"/>
    </row>
    <row r="117" spans="1:1" x14ac:dyDescent="0.55000000000000004">
      <c r="A117" s="61"/>
    </row>
    <row r="118" spans="1:1" x14ac:dyDescent="0.55000000000000004">
      <c r="A118" s="61"/>
    </row>
    <row r="119" spans="1:1" x14ac:dyDescent="0.55000000000000004">
      <c r="A119" s="61"/>
    </row>
    <row r="120" spans="1:1" x14ac:dyDescent="0.55000000000000004">
      <c r="A120" s="61"/>
    </row>
    <row r="121" spans="1:1" x14ac:dyDescent="0.55000000000000004">
      <c r="A121" s="61"/>
    </row>
    <row r="122" spans="1:1" x14ac:dyDescent="0.55000000000000004">
      <c r="A122" s="61"/>
    </row>
    <row r="123" spans="1:1" x14ac:dyDescent="0.55000000000000004">
      <c r="A123" s="61"/>
    </row>
    <row r="124" spans="1:1" x14ac:dyDescent="0.55000000000000004">
      <c r="A124" s="61"/>
    </row>
    <row r="125" spans="1:1" x14ac:dyDescent="0.55000000000000004">
      <c r="A125" s="61"/>
    </row>
    <row r="126" spans="1:1" x14ac:dyDescent="0.55000000000000004">
      <c r="A126" s="61"/>
    </row>
    <row r="127" spans="1:1" x14ac:dyDescent="0.55000000000000004">
      <c r="A127" s="61"/>
    </row>
    <row r="128" spans="1:1" x14ac:dyDescent="0.55000000000000004">
      <c r="A128" s="61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tabSelected="1" view="pageLayout" topLeftCell="A36" zoomScale="74" zoomScaleNormal="70" zoomScalePageLayoutView="74" workbookViewId="0">
      <selection activeCell="AE59" sqref="AE59"/>
    </sheetView>
  </sheetViews>
  <sheetFormatPr baseColWidth="10" defaultColWidth="9.1015625" defaultRowHeight="14.4" x14ac:dyDescent="0.55000000000000004"/>
  <cols>
    <col min="1" max="1" width="4.68359375" customWidth="1"/>
    <col min="4" max="4" width="13.41796875" customWidth="1"/>
    <col min="5" max="5" width="11.5234375" customWidth="1"/>
    <col min="6" max="6" width="11.20703125" customWidth="1"/>
    <col min="7" max="7" width="11" customWidth="1"/>
    <col min="8" max="8" width="11.68359375" bestFit="1" customWidth="1"/>
    <col min="9" max="9" width="10.68359375" customWidth="1"/>
    <col min="10" max="10" width="13.68359375" customWidth="1"/>
    <col min="12" max="12" width="7.7890625" customWidth="1"/>
    <col min="13" max="13" width="6.3125" customWidth="1"/>
    <col min="14" max="14" width="9.1015625" customWidth="1"/>
  </cols>
  <sheetData>
    <row r="1" spans="1:14" ht="14.7" thickBot="1" x14ac:dyDescent="0.6">
      <c r="A1" s="61" t="s">
        <v>164</v>
      </c>
      <c r="B1" s="61" t="s">
        <v>165</v>
      </c>
      <c r="C1" s="61" t="s">
        <v>166</v>
      </c>
      <c r="D1" s="61" t="s">
        <v>167</v>
      </c>
      <c r="E1" s="61" t="s">
        <v>168</v>
      </c>
      <c r="F1" s="61" t="s">
        <v>169</v>
      </c>
      <c r="G1" s="61" t="s">
        <v>170</v>
      </c>
      <c r="H1" s="61" t="s">
        <v>171</v>
      </c>
      <c r="I1" s="61" t="s">
        <v>172</v>
      </c>
      <c r="J1" s="61" t="s">
        <v>173</v>
      </c>
      <c r="K1" s="61" t="s">
        <v>174</v>
      </c>
      <c r="L1" s="61" t="s">
        <v>175</v>
      </c>
      <c r="M1" s="61" t="s">
        <v>176</v>
      </c>
      <c r="N1" s="61"/>
    </row>
    <row r="2" spans="1:14" ht="14.7" thickBot="1" x14ac:dyDescent="0.6">
      <c r="A2" s="61">
        <v>2</v>
      </c>
      <c r="B2" s="58" t="s">
        <v>177</v>
      </c>
      <c r="C2" s="59" t="s">
        <v>178</v>
      </c>
      <c r="D2" s="59"/>
      <c r="E2" s="59"/>
      <c r="F2" s="60"/>
    </row>
    <row r="3" spans="1:14" x14ac:dyDescent="0.55000000000000004">
      <c r="A3" s="61">
        <v>3</v>
      </c>
      <c r="J3" s="8"/>
      <c r="K3" s="8"/>
    </row>
    <row r="4" spans="1:14" x14ac:dyDescent="0.55000000000000004">
      <c r="A4" s="61">
        <v>4</v>
      </c>
      <c r="B4" t="s">
        <v>5</v>
      </c>
      <c r="C4" s="121" t="str">
        <f>VLOOKUP(D6,Listado!B3:C22,2,FALSE)</f>
        <v>Bringas Temido, Ramón</v>
      </c>
      <c r="F4" t="s">
        <v>6</v>
      </c>
      <c r="G4" s="120"/>
      <c r="I4" t="s">
        <v>7</v>
      </c>
      <c r="J4" s="120"/>
      <c r="K4" s="8"/>
    </row>
    <row r="5" spans="1:14" ht="15" customHeight="1" x14ac:dyDescent="0.55000000000000004">
      <c r="A5" s="61">
        <v>5</v>
      </c>
      <c r="C5" s="4"/>
      <c r="D5" s="4"/>
      <c r="E5" s="28"/>
      <c r="F5" s="28"/>
      <c r="G5" s="28"/>
      <c r="H5" s="28"/>
      <c r="I5" s="28"/>
      <c r="J5" s="4"/>
      <c r="K5" s="4"/>
    </row>
    <row r="6" spans="1:14" ht="15" customHeight="1" x14ac:dyDescent="0.55000000000000004">
      <c r="A6" s="61">
        <v>6</v>
      </c>
      <c r="B6" s="4"/>
      <c r="C6" s="31" t="s">
        <v>236</v>
      </c>
      <c r="D6" s="119" t="s">
        <v>131</v>
      </c>
      <c r="E6" s="29"/>
      <c r="F6" s="29"/>
      <c r="G6" s="29"/>
      <c r="H6" s="29"/>
      <c r="I6" s="29"/>
      <c r="J6" s="4"/>
      <c r="K6" s="4"/>
    </row>
    <row r="7" spans="1:14" x14ac:dyDescent="0.55000000000000004">
      <c r="A7" s="61">
        <v>7</v>
      </c>
      <c r="C7" s="12" t="s">
        <v>8</v>
      </c>
      <c r="D7" s="64" t="str">
        <f>MID($D$6,1,1)</f>
        <v>7</v>
      </c>
      <c r="F7" t="s">
        <v>144</v>
      </c>
      <c r="H7" s="5" t="s">
        <v>8</v>
      </c>
      <c r="I7" s="123">
        <v>12</v>
      </c>
      <c r="J7" s="5" t="s">
        <v>145</v>
      </c>
    </row>
    <row r="8" spans="1:14" x14ac:dyDescent="0.55000000000000004">
      <c r="A8" s="61">
        <v>8</v>
      </c>
      <c r="B8" s="1"/>
      <c r="C8" s="13" t="s">
        <v>9</v>
      </c>
      <c r="D8" s="65" t="str">
        <f>MID($D$6,2,1)</f>
        <v>5</v>
      </c>
      <c r="F8" t="s">
        <v>146</v>
      </c>
      <c r="H8" s="5" t="s">
        <v>147</v>
      </c>
      <c r="I8" s="123">
        <v>8</v>
      </c>
      <c r="J8" s="5" t="s">
        <v>148</v>
      </c>
    </row>
    <row r="9" spans="1:14" x14ac:dyDescent="0.55000000000000004">
      <c r="A9" s="61">
        <v>9</v>
      </c>
      <c r="B9" s="1"/>
      <c r="C9" s="13" t="s">
        <v>2</v>
      </c>
      <c r="D9" s="65" t="str">
        <f>MID($D$6,3,1)</f>
        <v>8</v>
      </c>
      <c r="F9" t="s">
        <v>149</v>
      </c>
      <c r="H9" s="5" t="s">
        <v>150</v>
      </c>
      <c r="I9" s="64">
        <f>6+D7</f>
        <v>13</v>
      </c>
      <c r="J9" s="5" t="s">
        <v>49</v>
      </c>
    </row>
    <row r="10" spans="1:14" x14ac:dyDescent="0.55000000000000004">
      <c r="A10" s="61">
        <v>10</v>
      </c>
      <c r="B10" s="1"/>
      <c r="C10" s="13" t="s">
        <v>1</v>
      </c>
      <c r="D10" s="65" t="str">
        <f>MID($D$6,4,1)</f>
        <v>9</v>
      </c>
      <c r="I10" s="5"/>
    </row>
    <row r="11" spans="1:14" x14ac:dyDescent="0.55000000000000004">
      <c r="A11" s="61">
        <v>11</v>
      </c>
      <c r="B11" s="1"/>
      <c r="C11" s="13" t="s">
        <v>12</v>
      </c>
      <c r="D11" s="65" t="str">
        <f>MID($D$6,5,1)</f>
        <v>6</v>
      </c>
      <c r="H11" s="1"/>
      <c r="I11" s="5"/>
    </row>
    <row r="12" spans="1:14" x14ac:dyDescent="0.55000000000000004">
      <c r="A12" s="61">
        <v>12</v>
      </c>
      <c r="B12" s="1"/>
      <c r="C12" s="13" t="s">
        <v>10</v>
      </c>
      <c r="D12" s="65" t="str">
        <f>MID($D$6,6,1)</f>
        <v>3</v>
      </c>
      <c r="H12" s="1"/>
      <c r="I12" s="5"/>
    </row>
    <row r="13" spans="1:14" x14ac:dyDescent="0.55000000000000004">
      <c r="A13" s="61">
        <v>13</v>
      </c>
      <c r="C13" s="13" t="s">
        <v>11</v>
      </c>
      <c r="D13" s="65" t="str">
        <f>MID($D$6,7,1)</f>
        <v>4</v>
      </c>
      <c r="H13" s="1"/>
    </row>
    <row r="14" spans="1:14" x14ac:dyDescent="0.55000000000000004">
      <c r="A14" s="61">
        <v>14</v>
      </c>
      <c r="C14" s="14" t="s">
        <v>3</v>
      </c>
      <c r="D14" s="65" t="str">
        <f>MID($D$6,8,1)</f>
        <v>2</v>
      </c>
      <c r="H14" s="1"/>
    </row>
    <row r="15" spans="1:14" x14ac:dyDescent="0.55000000000000004">
      <c r="A15" s="61">
        <v>15</v>
      </c>
      <c r="C15" s="5"/>
      <c r="D15" s="5"/>
      <c r="H15" s="1"/>
    </row>
    <row r="16" spans="1:14" x14ac:dyDescent="0.55000000000000004">
      <c r="A16" s="61">
        <v>16</v>
      </c>
      <c r="B16" t="s">
        <v>13</v>
      </c>
      <c r="C16" s="3"/>
      <c r="H16" s="1"/>
      <c r="I16" s="5"/>
      <c r="J16" s="1"/>
      <c r="K16" s="5"/>
    </row>
    <row r="17" spans="1:12" x14ac:dyDescent="0.55000000000000004">
      <c r="A17" s="61">
        <v>17</v>
      </c>
      <c r="C17" s="120" t="s">
        <v>14</v>
      </c>
      <c r="G17" s="1"/>
      <c r="H17" s="1"/>
      <c r="J17" s="1"/>
      <c r="K17" s="5"/>
    </row>
    <row r="18" spans="1:12" x14ac:dyDescent="0.55000000000000004">
      <c r="A18" s="61">
        <v>18</v>
      </c>
      <c r="C18" s="3"/>
      <c r="D18" s="120" t="s">
        <v>15</v>
      </c>
      <c r="G18" s="1"/>
      <c r="H18" s="1"/>
      <c r="J18" s="1"/>
      <c r="K18" s="5"/>
    </row>
    <row r="19" spans="1:12" x14ac:dyDescent="0.55000000000000004">
      <c r="A19" s="61">
        <v>19</v>
      </c>
      <c r="B19" s="3" t="s">
        <v>132</v>
      </c>
      <c r="E19" s="1"/>
      <c r="F19" s="1"/>
      <c r="G19" s="5"/>
      <c r="H19" s="5" t="s">
        <v>16</v>
      </c>
      <c r="I19" s="5" t="s">
        <v>133</v>
      </c>
      <c r="J19" s="65">
        <f>7+$D$11</f>
        <v>13</v>
      </c>
      <c r="K19" s="5" t="s">
        <v>17</v>
      </c>
    </row>
    <row r="20" spans="1:12" x14ac:dyDescent="0.55000000000000004">
      <c r="A20" s="61">
        <v>20</v>
      </c>
      <c r="C20" t="s">
        <v>238</v>
      </c>
      <c r="E20" s="1"/>
      <c r="F20" s="1"/>
      <c r="H20" s="1"/>
      <c r="I20" s="5" t="s">
        <v>155</v>
      </c>
      <c r="J20" s="123">
        <v>1.3</v>
      </c>
      <c r="K20" s="5"/>
    </row>
    <row r="21" spans="1:12" x14ac:dyDescent="0.55000000000000004">
      <c r="A21" s="61">
        <v>21</v>
      </c>
      <c r="D21" t="s">
        <v>156</v>
      </c>
      <c r="E21" s="2"/>
      <c r="F21" s="2"/>
      <c r="G21" s="5" t="s">
        <v>19</v>
      </c>
      <c r="H21" s="5" t="s">
        <v>20</v>
      </c>
      <c r="I21" s="5" t="s">
        <v>134</v>
      </c>
      <c r="J21" s="65">
        <f xml:space="preserve"> 6 + (2*$D$8)</f>
        <v>16</v>
      </c>
      <c r="K21" s="5" t="s">
        <v>17</v>
      </c>
    </row>
    <row r="22" spans="1:12" x14ac:dyDescent="0.55000000000000004">
      <c r="A22" s="61">
        <v>22</v>
      </c>
      <c r="D22" s="3"/>
      <c r="E22" s="2"/>
      <c r="F22" s="2"/>
      <c r="G22" s="5" t="s">
        <v>21</v>
      </c>
      <c r="H22" s="5" t="s">
        <v>22</v>
      </c>
      <c r="I22" s="5" t="s">
        <v>135</v>
      </c>
      <c r="J22" s="65">
        <f xml:space="preserve"> 2 + $D$8</f>
        <v>7</v>
      </c>
      <c r="K22" s="5" t="s">
        <v>17</v>
      </c>
    </row>
    <row r="23" spans="1:12" x14ac:dyDescent="0.55000000000000004">
      <c r="A23" s="61">
        <v>23</v>
      </c>
      <c r="E23" s="1"/>
      <c r="F23" s="1"/>
      <c r="G23" s="5"/>
      <c r="H23" s="5" t="s">
        <v>23</v>
      </c>
      <c r="I23" s="5" t="s">
        <v>136</v>
      </c>
      <c r="J23" s="65">
        <f>2+(0.2*$D$10)</f>
        <v>3.8</v>
      </c>
      <c r="K23" s="5" t="s">
        <v>24</v>
      </c>
    </row>
    <row r="24" spans="1:12" x14ac:dyDescent="0.55000000000000004">
      <c r="A24" s="61">
        <v>24</v>
      </c>
      <c r="E24" s="1"/>
      <c r="F24" s="1"/>
      <c r="G24" s="5"/>
      <c r="H24" s="5" t="s">
        <v>25</v>
      </c>
      <c r="I24" s="32" t="s">
        <v>137</v>
      </c>
      <c r="J24" s="65">
        <f>1.6+(0.1*$D$10)</f>
        <v>2.5</v>
      </c>
      <c r="K24" s="5" t="s">
        <v>24</v>
      </c>
    </row>
    <row r="25" spans="1:12" ht="24.6" customHeight="1" x14ac:dyDescent="0.55000000000000004">
      <c r="A25" s="61">
        <v>25</v>
      </c>
      <c r="D25" s="124" t="s">
        <v>157</v>
      </c>
      <c r="E25" s="125">
        <f>((J21*J23)+(J22*(J23+J24)))</f>
        <v>104.9</v>
      </c>
      <c r="F25" s="124" t="s">
        <v>26</v>
      </c>
      <c r="G25" s="5"/>
      <c r="J25" s="1"/>
      <c r="K25" s="5"/>
    </row>
    <row r="26" spans="1:12" x14ac:dyDescent="0.55000000000000004">
      <c r="A26" s="61">
        <v>26</v>
      </c>
      <c r="C26" s="6"/>
      <c r="D26" s="17" t="s">
        <v>27</v>
      </c>
      <c r="E26" s="126" t="s">
        <v>241</v>
      </c>
      <c r="F26" s="66">
        <f>E25/(J20*J19)</f>
        <v>6.2071005917159763</v>
      </c>
      <c r="G26" s="20" t="s">
        <v>24</v>
      </c>
    </row>
    <row r="27" spans="1:12" x14ac:dyDescent="0.55000000000000004">
      <c r="A27" s="61">
        <v>27</v>
      </c>
      <c r="B27" s="3" t="s">
        <v>240</v>
      </c>
      <c r="I27" s="8"/>
    </row>
    <row r="28" spans="1:12" x14ac:dyDescent="0.55000000000000004">
      <c r="A28" s="61">
        <v>28</v>
      </c>
      <c r="C28" t="s">
        <v>238</v>
      </c>
      <c r="E28" s="1"/>
      <c r="F28" s="1"/>
      <c r="H28" s="1"/>
      <c r="I28" s="5" t="s">
        <v>27</v>
      </c>
      <c r="J28" s="123">
        <v>2</v>
      </c>
      <c r="K28" s="5" t="s">
        <v>24</v>
      </c>
    </row>
    <row r="29" spans="1:12" x14ac:dyDescent="0.55000000000000004">
      <c r="A29" s="61">
        <v>29</v>
      </c>
      <c r="D29" t="s">
        <v>156</v>
      </c>
      <c r="E29" s="2"/>
      <c r="F29" s="2"/>
      <c r="G29" s="5" t="s">
        <v>19</v>
      </c>
      <c r="H29" s="5" t="s">
        <v>20</v>
      </c>
      <c r="I29" s="5" t="s">
        <v>134</v>
      </c>
      <c r="J29" s="65">
        <f xml:space="preserve"> 6 + (2*$D$8)</f>
        <v>16</v>
      </c>
      <c r="K29" s="5" t="s">
        <v>17</v>
      </c>
    </row>
    <row r="30" spans="1:12" x14ac:dyDescent="0.55000000000000004">
      <c r="A30" s="61">
        <v>30</v>
      </c>
      <c r="D30" s="3"/>
      <c r="E30" s="2"/>
      <c r="F30" s="2"/>
      <c r="G30" s="5" t="s">
        <v>21</v>
      </c>
      <c r="H30" s="5" t="s">
        <v>22</v>
      </c>
      <c r="I30" s="5" t="s">
        <v>135</v>
      </c>
      <c r="J30" s="65">
        <f xml:space="preserve"> 2 + $D$8</f>
        <v>7</v>
      </c>
      <c r="K30" s="5" t="s">
        <v>17</v>
      </c>
    </row>
    <row r="31" spans="1:12" x14ac:dyDescent="0.55000000000000004">
      <c r="A31" s="61">
        <v>31</v>
      </c>
      <c r="E31" s="1"/>
      <c r="F31" s="1"/>
      <c r="G31" s="5"/>
      <c r="H31" s="5" t="s">
        <v>23</v>
      </c>
      <c r="I31" s="5" t="s">
        <v>136</v>
      </c>
      <c r="J31" s="65">
        <f>2+(0.2*$D$10)</f>
        <v>3.8</v>
      </c>
      <c r="K31" s="5" t="s">
        <v>24</v>
      </c>
    </row>
    <row r="32" spans="1:12" x14ac:dyDescent="0.55000000000000004">
      <c r="A32" s="61">
        <v>32</v>
      </c>
      <c r="E32" s="1"/>
      <c r="F32" s="1"/>
      <c r="G32" s="5"/>
      <c r="H32" s="5" t="s">
        <v>25</v>
      </c>
      <c r="I32" s="32" t="s">
        <v>137</v>
      </c>
      <c r="J32" s="65">
        <f>1.6+(0.1*$D$10)</f>
        <v>2.5</v>
      </c>
      <c r="K32" s="5" t="s">
        <v>24</v>
      </c>
      <c r="L32" s="100"/>
    </row>
    <row r="33" spans="1:13" s="86" customFormat="1" x14ac:dyDescent="0.55000000000000004">
      <c r="A33" s="61">
        <v>33</v>
      </c>
      <c r="B33" s="61" t="s">
        <v>165</v>
      </c>
      <c r="C33" s="61" t="s">
        <v>166</v>
      </c>
      <c r="D33" s="61" t="s">
        <v>167</v>
      </c>
      <c r="E33" s="61" t="s">
        <v>168</v>
      </c>
      <c r="F33" s="61" t="s">
        <v>169</v>
      </c>
      <c r="G33" s="61" t="s">
        <v>170</v>
      </c>
      <c r="H33" s="61" t="s">
        <v>171</v>
      </c>
      <c r="I33" s="61" t="s">
        <v>172</v>
      </c>
      <c r="J33" s="61" t="s">
        <v>173</v>
      </c>
      <c r="K33" s="61" t="s">
        <v>174</v>
      </c>
      <c r="L33" s="61" t="s">
        <v>175</v>
      </c>
      <c r="M33" s="61" t="s">
        <v>176</v>
      </c>
    </row>
    <row r="34" spans="1:13" x14ac:dyDescent="0.55000000000000004">
      <c r="A34" s="61">
        <v>34</v>
      </c>
      <c r="D34" s="5" t="s">
        <v>243</v>
      </c>
      <c r="E34" s="69">
        <f>((J29*J31)+(J30*(J31+J32)))</f>
        <v>104.9</v>
      </c>
      <c r="F34" s="5" t="s">
        <v>26</v>
      </c>
      <c r="G34" s="5"/>
      <c r="J34" s="1"/>
      <c r="K34" s="5"/>
    </row>
    <row r="35" spans="1:13" x14ac:dyDescent="0.55000000000000004">
      <c r="A35" s="61">
        <v>35</v>
      </c>
      <c r="C35" s="6"/>
      <c r="D35" s="127" t="s">
        <v>245</v>
      </c>
      <c r="E35" s="126"/>
      <c r="F35" s="68">
        <f>E34/(J20*J28)</f>
        <v>40.346153846153847</v>
      </c>
      <c r="G35" s="20" t="s">
        <v>17</v>
      </c>
    </row>
    <row r="36" spans="1:13" x14ac:dyDescent="0.55000000000000004">
      <c r="A36" s="61">
        <v>36</v>
      </c>
      <c r="I36" s="1"/>
      <c r="J36" s="7"/>
    </row>
    <row r="37" spans="1:13" x14ac:dyDescent="0.55000000000000004">
      <c r="A37" s="61">
        <v>37</v>
      </c>
      <c r="B37" s="3" t="s">
        <v>29</v>
      </c>
      <c r="H37" s="1"/>
      <c r="I37" s="9"/>
      <c r="K37" s="10"/>
    </row>
    <row r="38" spans="1:13" x14ac:dyDescent="0.55000000000000004">
      <c r="A38" s="61">
        <v>38</v>
      </c>
      <c r="C38" t="s">
        <v>30</v>
      </c>
    </row>
    <row r="39" spans="1:13" x14ac:dyDescent="0.55000000000000004">
      <c r="A39" s="61">
        <v>39</v>
      </c>
      <c r="D39" s="17" t="s">
        <v>31</v>
      </c>
      <c r="E39" s="21" t="s">
        <v>247</v>
      </c>
      <c r="F39" s="21"/>
      <c r="G39" s="68">
        <f xml:space="preserve"> (J20*F35)+J29+J30</f>
        <v>75.45</v>
      </c>
      <c r="H39" s="20" t="s">
        <v>17</v>
      </c>
      <c r="I39" s="1"/>
      <c r="J39" s="8"/>
    </row>
    <row r="40" spans="1:13" x14ac:dyDescent="0.55000000000000004">
      <c r="A40" s="61">
        <v>40</v>
      </c>
      <c r="D40" t="s">
        <v>35</v>
      </c>
      <c r="G40" s="2"/>
      <c r="J40" s="11"/>
    </row>
    <row r="41" spans="1:13" x14ac:dyDescent="0.55000000000000004">
      <c r="A41" s="61">
        <v>41</v>
      </c>
      <c r="C41" s="120" t="s">
        <v>140</v>
      </c>
      <c r="G41" s="2"/>
      <c r="J41" s="11"/>
    </row>
    <row r="42" spans="1:13" x14ac:dyDescent="0.55000000000000004">
      <c r="A42" s="61">
        <v>42</v>
      </c>
      <c r="D42" s="3" t="s">
        <v>141</v>
      </c>
      <c r="G42" s="2"/>
      <c r="H42" t="s">
        <v>142</v>
      </c>
      <c r="I42" s="68">
        <f>G39/2</f>
        <v>37.725000000000001</v>
      </c>
      <c r="J42" s="11" t="s">
        <v>17</v>
      </c>
    </row>
    <row r="43" spans="1:13" x14ac:dyDescent="0.55000000000000004">
      <c r="A43" s="61">
        <v>43</v>
      </c>
      <c r="G43" s="2"/>
      <c r="J43" s="11"/>
    </row>
    <row r="44" spans="1:13" x14ac:dyDescent="0.55000000000000004">
      <c r="A44" s="61">
        <v>44</v>
      </c>
      <c r="B44" s="3" t="s">
        <v>36</v>
      </c>
      <c r="D44" s="3"/>
      <c r="I44" s="2"/>
      <c r="J44" s="11"/>
      <c r="K44" s="3"/>
      <c r="L44" s="3"/>
    </row>
    <row r="45" spans="1:13" x14ac:dyDescent="0.55000000000000004">
      <c r="A45" s="61">
        <v>45</v>
      </c>
      <c r="C45" t="s">
        <v>37</v>
      </c>
      <c r="D45" s="3"/>
      <c r="E45" s="5" t="s">
        <v>38</v>
      </c>
      <c r="F45" s="123">
        <v>4</v>
      </c>
      <c r="I45" s="2"/>
      <c r="J45" s="11"/>
      <c r="K45" s="3"/>
      <c r="L45" s="3"/>
    </row>
    <row r="46" spans="1:13" x14ac:dyDescent="0.55000000000000004">
      <c r="A46" s="61">
        <v>46</v>
      </c>
      <c r="C46" t="s">
        <v>39</v>
      </c>
      <c r="E46" s="5" t="s">
        <v>40</v>
      </c>
      <c r="F46" s="123">
        <v>0.96</v>
      </c>
      <c r="G46" t="s">
        <v>143</v>
      </c>
    </row>
    <row r="47" spans="1:13" x14ac:dyDescent="0.55000000000000004">
      <c r="A47" s="61">
        <v>47</v>
      </c>
      <c r="C47" s="17" t="s">
        <v>41</v>
      </c>
      <c r="D47" s="21" t="s">
        <v>250</v>
      </c>
      <c r="E47" s="21"/>
      <c r="F47" s="68">
        <f>(J20*F35)/(F45*F46)</f>
        <v>13.658854166666668</v>
      </c>
      <c r="G47" s="20" t="s">
        <v>17</v>
      </c>
    </row>
    <row r="48" spans="1:13" x14ac:dyDescent="0.55000000000000004">
      <c r="A48" s="61">
        <v>48</v>
      </c>
    </row>
    <row r="49" spans="1:13" x14ac:dyDescent="0.55000000000000004">
      <c r="A49" s="61">
        <v>49</v>
      </c>
      <c r="B49" s="3" t="s">
        <v>43</v>
      </c>
    </row>
    <row r="50" spans="1:13" x14ac:dyDescent="0.55000000000000004">
      <c r="A50" s="61">
        <v>50</v>
      </c>
      <c r="C50" t="s">
        <v>44</v>
      </c>
      <c r="D50" s="129">
        <f>I7</f>
        <v>12</v>
      </c>
      <c r="F50" t="s">
        <v>45</v>
      </c>
      <c r="H50" s="123">
        <v>260</v>
      </c>
      <c r="I50" t="s">
        <v>46</v>
      </c>
    </row>
    <row r="51" spans="1:13" x14ac:dyDescent="0.55000000000000004">
      <c r="A51" s="61">
        <v>51</v>
      </c>
      <c r="C51" t="s">
        <v>47</v>
      </c>
      <c r="D51" s="129">
        <f>I8</f>
        <v>8</v>
      </c>
      <c r="F51" t="s">
        <v>48</v>
      </c>
      <c r="H51" s="64">
        <f>I9</f>
        <v>13</v>
      </c>
      <c r="I51" t="s">
        <v>49</v>
      </c>
    </row>
    <row r="52" spans="1:13" x14ac:dyDescent="0.55000000000000004">
      <c r="A52" s="61">
        <v>52</v>
      </c>
      <c r="C52" t="s">
        <v>50</v>
      </c>
      <c r="E52" s="68">
        <f>60/H51</f>
        <v>4.615384615384615</v>
      </c>
    </row>
    <row r="53" spans="1:13" x14ac:dyDescent="0.55000000000000004">
      <c r="A53" s="61">
        <v>53</v>
      </c>
      <c r="C53" t="s">
        <v>51</v>
      </c>
      <c r="E53" t="s">
        <v>151</v>
      </c>
      <c r="J53" s="65">
        <f>D50*H50*D51*E52</f>
        <v>115199.99999999999</v>
      </c>
      <c r="K53" t="s">
        <v>52</v>
      </c>
      <c r="L53" t="s">
        <v>54</v>
      </c>
      <c r="M53" s="123" t="s">
        <v>256</v>
      </c>
    </row>
    <row r="54" spans="1:13" x14ac:dyDescent="0.55000000000000004">
      <c r="A54" s="61">
        <v>54</v>
      </c>
      <c r="C54" t="s">
        <v>53</v>
      </c>
      <c r="F54" s="123" t="s">
        <v>55</v>
      </c>
      <c r="G54" s="23"/>
    </row>
    <row r="55" spans="1:13" x14ac:dyDescent="0.55000000000000004">
      <c r="A55" s="61">
        <v>55</v>
      </c>
      <c r="C55" s="24" t="s">
        <v>57</v>
      </c>
      <c r="D55" s="25"/>
      <c r="E55" s="25"/>
      <c r="F55" s="133" t="str">
        <f>M53</f>
        <v>U3</v>
      </c>
      <c r="G55" s="133" t="str">
        <f>F54</f>
        <v>Q3</v>
      </c>
      <c r="H55" s="26" t="s">
        <v>56</v>
      </c>
      <c r="I55" s="132" t="s">
        <v>257</v>
      </c>
    </row>
    <row r="56" spans="1:13" x14ac:dyDescent="0.55000000000000004">
      <c r="A56" s="61">
        <v>56</v>
      </c>
      <c r="C56" t="s">
        <v>58</v>
      </c>
      <c r="F56" s="120" t="s">
        <v>59</v>
      </c>
      <c r="L56" s="5" t="s">
        <v>63</v>
      </c>
      <c r="M56" s="123">
        <v>0.5</v>
      </c>
    </row>
    <row r="57" spans="1:13" x14ac:dyDescent="0.55000000000000004">
      <c r="A57" s="61">
        <v>57</v>
      </c>
      <c r="C57" t="s">
        <v>60</v>
      </c>
      <c r="F57" t="s">
        <v>152</v>
      </c>
      <c r="J57" s="135">
        <f>D50*H50*D51</f>
        <v>24960</v>
      </c>
      <c r="K57" s="5" t="s">
        <v>61</v>
      </c>
      <c r="M57" s="5"/>
    </row>
    <row r="58" spans="1:13" x14ac:dyDescent="0.55000000000000004">
      <c r="A58" s="61">
        <v>58</v>
      </c>
      <c r="C58" t="s">
        <v>62</v>
      </c>
      <c r="H58" s="135">
        <f>M56*J57</f>
        <v>12480</v>
      </c>
      <c r="I58" s="5" t="s">
        <v>61</v>
      </c>
      <c r="K58" t="s">
        <v>64</v>
      </c>
      <c r="M58" s="123" t="s">
        <v>65</v>
      </c>
    </row>
    <row r="59" spans="1:13" x14ac:dyDescent="0.55000000000000004">
      <c r="A59" s="61">
        <v>59</v>
      </c>
      <c r="C59" t="s">
        <v>66</v>
      </c>
      <c r="F59" s="123" t="s">
        <v>67</v>
      </c>
      <c r="G59" s="23"/>
    </row>
    <row r="60" spans="1:13" x14ac:dyDescent="0.55000000000000004">
      <c r="A60" s="61">
        <v>60</v>
      </c>
      <c r="C60" s="24" t="s">
        <v>68</v>
      </c>
      <c r="D60" s="25"/>
      <c r="E60" s="25"/>
      <c r="F60" s="133" t="str">
        <f>M58</f>
        <v>T7</v>
      </c>
      <c r="G60" s="133" t="str">
        <f>F59</f>
        <v>L3</v>
      </c>
      <c r="H60" s="26" t="s">
        <v>56</v>
      </c>
      <c r="I60" s="132" t="s">
        <v>69</v>
      </c>
    </row>
    <row r="61" spans="1:13" x14ac:dyDescent="0.55000000000000004">
      <c r="A61" s="61">
        <v>61</v>
      </c>
      <c r="B61" s="3" t="s">
        <v>70</v>
      </c>
    </row>
    <row r="62" spans="1:13" x14ac:dyDescent="0.55000000000000004">
      <c r="A62" s="61">
        <v>62</v>
      </c>
      <c r="C62" t="s">
        <v>71</v>
      </c>
      <c r="I62" s="5" t="s">
        <v>78</v>
      </c>
      <c r="J62" s="5" t="s">
        <v>72</v>
      </c>
      <c r="K62" s="68">
        <f>J23+F26</f>
        <v>10.007100591715975</v>
      </c>
      <c r="L62" s="5" t="s">
        <v>24</v>
      </c>
    </row>
    <row r="63" spans="1:13" x14ac:dyDescent="0.55000000000000004">
      <c r="A63" s="61">
        <v>63</v>
      </c>
      <c r="C63" t="s">
        <v>73</v>
      </c>
    </row>
    <row r="64" spans="1:13" x14ac:dyDescent="0.55000000000000004">
      <c r="A64" s="61">
        <v>64</v>
      </c>
      <c r="C64" s="120" t="s">
        <v>74</v>
      </c>
      <c r="E64" t="s">
        <v>75</v>
      </c>
      <c r="G64" s="27" t="s">
        <v>76</v>
      </c>
      <c r="H64" s="18" t="s">
        <v>79</v>
      </c>
      <c r="I64" s="68">
        <f>5*K62</f>
        <v>50.035502958579876</v>
      </c>
      <c r="J64" s="20" t="s">
        <v>24</v>
      </c>
    </row>
    <row r="65" spans="1:15" x14ac:dyDescent="0.55000000000000004">
      <c r="A65" s="6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</row>
    <row r="66" spans="1:15" x14ac:dyDescent="0.55000000000000004">
      <c r="A66" s="61"/>
      <c r="B66" s="72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0"/>
    </row>
    <row r="67" spans="1:15" x14ac:dyDescent="0.55000000000000004">
      <c r="A67" s="61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0"/>
    </row>
    <row r="68" spans="1:15" x14ac:dyDescent="0.55000000000000004">
      <c r="A68" s="61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0"/>
    </row>
    <row r="69" spans="1:15" x14ac:dyDescent="0.55000000000000004">
      <c r="A69" s="61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0"/>
    </row>
    <row r="70" spans="1:15" x14ac:dyDescent="0.55000000000000004">
      <c r="A70" s="61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0"/>
    </row>
    <row r="71" spans="1:15" x14ac:dyDescent="0.55000000000000004">
      <c r="A71" s="61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0"/>
    </row>
    <row r="72" spans="1:15" x14ac:dyDescent="0.55000000000000004">
      <c r="A72" s="61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0"/>
    </row>
    <row r="73" spans="1:15" x14ac:dyDescent="0.55000000000000004">
      <c r="A73" s="61"/>
      <c r="B73" s="73"/>
      <c r="C73" s="73"/>
      <c r="D73" s="73"/>
      <c r="E73" s="73"/>
      <c r="F73" s="73"/>
      <c r="G73" s="74"/>
      <c r="H73" s="73"/>
      <c r="I73" s="74"/>
      <c r="J73" s="75"/>
      <c r="K73" s="74"/>
      <c r="L73" s="76"/>
      <c r="M73" s="77"/>
      <c r="N73" s="74"/>
      <c r="O73" s="70"/>
    </row>
    <row r="74" spans="1:15" x14ac:dyDescent="0.55000000000000004">
      <c r="A74" s="61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0"/>
    </row>
    <row r="75" spans="1:15" x14ac:dyDescent="0.55000000000000004">
      <c r="A75" s="61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0"/>
    </row>
    <row r="76" spans="1:15" x14ac:dyDescent="0.55000000000000004">
      <c r="A76" s="61"/>
      <c r="B76" s="73"/>
      <c r="C76" s="72"/>
      <c r="D76" s="73"/>
      <c r="E76" s="73"/>
      <c r="F76" s="73"/>
      <c r="G76" s="78"/>
      <c r="H76" s="79"/>
      <c r="I76" s="80"/>
      <c r="J76" s="79"/>
      <c r="K76" s="79"/>
      <c r="L76" s="73"/>
      <c r="M76" s="73"/>
      <c r="N76" s="73"/>
      <c r="O76" s="70"/>
    </row>
    <row r="77" spans="1:15" x14ac:dyDescent="0.55000000000000004">
      <c r="A77" s="61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7"/>
      <c r="N77" s="74"/>
      <c r="O77" s="70"/>
    </row>
    <row r="78" spans="1:15" x14ac:dyDescent="0.55000000000000004">
      <c r="A78" s="61"/>
      <c r="B78" s="73"/>
      <c r="C78" s="72"/>
      <c r="D78" s="73"/>
      <c r="E78" s="73"/>
      <c r="F78" s="78"/>
      <c r="G78" s="79"/>
      <c r="H78" s="81"/>
      <c r="I78" s="79"/>
      <c r="J78" s="79"/>
      <c r="K78" s="73"/>
      <c r="L78" s="73"/>
      <c r="M78" s="73"/>
      <c r="N78" s="73"/>
      <c r="O78" s="70"/>
    </row>
    <row r="79" spans="1:15" x14ac:dyDescent="0.55000000000000004">
      <c r="A79" s="61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0"/>
    </row>
    <row r="80" spans="1:15" x14ac:dyDescent="0.55000000000000004">
      <c r="A80" s="61"/>
      <c r="B80" s="72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0"/>
    </row>
    <row r="81" spans="1:15" x14ac:dyDescent="0.55000000000000004">
      <c r="A81" s="61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0"/>
    </row>
    <row r="82" spans="1:15" x14ac:dyDescent="0.55000000000000004">
      <c r="A82" s="61"/>
      <c r="B82" s="73"/>
      <c r="C82" s="73"/>
      <c r="D82" s="73"/>
      <c r="E82" s="74"/>
      <c r="F82" s="74"/>
      <c r="G82" s="74"/>
      <c r="H82" s="74"/>
      <c r="I82" s="74"/>
      <c r="J82" s="74"/>
      <c r="K82" s="74"/>
      <c r="L82" s="74"/>
      <c r="M82" s="74"/>
      <c r="N82" s="73"/>
      <c r="O82" s="70"/>
    </row>
    <row r="83" spans="1:15" x14ac:dyDescent="0.55000000000000004">
      <c r="A83" s="61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0"/>
    </row>
    <row r="84" spans="1:15" x14ac:dyDescent="0.55000000000000004">
      <c r="A84" s="61"/>
      <c r="B84" s="73"/>
      <c r="C84" s="73"/>
      <c r="D84" s="73"/>
      <c r="E84" s="73"/>
      <c r="F84" s="74"/>
      <c r="G84" s="74"/>
      <c r="H84" s="73"/>
      <c r="I84" s="73"/>
      <c r="J84" s="73"/>
      <c r="K84" s="73"/>
      <c r="L84" s="74"/>
      <c r="M84" s="74"/>
      <c r="N84" s="73"/>
      <c r="O84" s="70"/>
    </row>
    <row r="85" spans="1:15" x14ac:dyDescent="0.55000000000000004">
      <c r="A85" s="61"/>
      <c r="B85" s="73"/>
      <c r="C85" s="73"/>
      <c r="D85" s="73"/>
      <c r="E85" s="73"/>
      <c r="F85" s="73"/>
      <c r="G85" s="74"/>
      <c r="H85" s="74"/>
      <c r="I85" s="73"/>
      <c r="J85" s="73"/>
      <c r="K85" s="73"/>
      <c r="L85" s="73"/>
      <c r="M85" s="73"/>
      <c r="N85" s="73"/>
      <c r="O85" s="70"/>
    </row>
    <row r="86" spans="1:15" x14ac:dyDescent="0.55000000000000004">
      <c r="A86" s="61"/>
      <c r="B86" s="73"/>
      <c r="C86" s="73"/>
      <c r="D86" s="73"/>
      <c r="E86" s="73"/>
      <c r="F86" s="73"/>
      <c r="G86" s="82"/>
      <c r="H86" s="74"/>
      <c r="I86" s="73"/>
      <c r="J86" s="73"/>
      <c r="K86" s="73"/>
      <c r="L86" s="73"/>
      <c r="M86" s="73"/>
      <c r="N86" s="73"/>
      <c r="O86" s="70"/>
    </row>
    <row r="87" spans="1:15" x14ac:dyDescent="0.55000000000000004">
      <c r="A87" s="61"/>
      <c r="B87" s="73"/>
      <c r="C87" s="73"/>
      <c r="D87" s="73"/>
      <c r="E87" s="73"/>
      <c r="F87" s="74"/>
      <c r="G87" s="74"/>
      <c r="H87" s="73"/>
      <c r="I87" s="73"/>
      <c r="J87" s="73"/>
      <c r="K87" s="73"/>
      <c r="L87" s="73"/>
      <c r="M87" s="73"/>
      <c r="N87" s="73"/>
      <c r="O87" s="70"/>
    </row>
    <row r="88" spans="1:15" x14ac:dyDescent="0.55000000000000004">
      <c r="A88" s="61"/>
      <c r="B88" s="73"/>
      <c r="C88" s="73"/>
      <c r="D88" s="73"/>
      <c r="E88" s="73"/>
      <c r="F88" s="73"/>
      <c r="G88" s="82"/>
      <c r="H88" s="74"/>
      <c r="I88" s="73"/>
      <c r="J88" s="73"/>
      <c r="K88" s="73"/>
      <c r="L88" s="73"/>
      <c r="M88" s="73"/>
      <c r="N88" s="73"/>
      <c r="O88" s="70"/>
    </row>
    <row r="89" spans="1:15" x14ac:dyDescent="0.55000000000000004">
      <c r="A89" s="61"/>
      <c r="B89" s="73"/>
      <c r="C89" s="73"/>
      <c r="D89" s="73"/>
      <c r="E89" s="73"/>
      <c r="F89" s="73"/>
      <c r="G89" s="73"/>
      <c r="H89" s="83"/>
      <c r="I89" s="73"/>
      <c r="J89" s="73"/>
      <c r="K89" s="73"/>
      <c r="L89" s="73"/>
      <c r="M89" s="73"/>
      <c r="N89" s="73"/>
      <c r="O89" s="70"/>
    </row>
    <row r="90" spans="1:15" x14ac:dyDescent="0.55000000000000004">
      <c r="A90" s="61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0"/>
    </row>
    <row r="91" spans="1:15" x14ac:dyDescent="0.55000000000000004">
      <c r="A91" s="61"/>
      <c r="B91" s="73"/>
      <c r="C91" s="73"/>
      <c r="D91" s="73"/>
      <c r="E91" s="79"/>
      <c r="F91" s="79"/>
      <c r="G91" s="79"/>
      <c r="H91" s="79"/>
      <c r="I91" s="79"/>
      <c r="J91" s="79"/>
      <c r="K91" s="79"/>
      <c r="L91" s="79"/>
      <c r="M91" s="79"/>
      <c r="N91" s="73"/>
      <c r="O91" s="70"/>
    </row>
    <row r="92" spans="1:15" x14ac:dyDescent="0.55000000000000004">
      <c r="A92" s="61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0"/>
    </row>
    <row r="93" spans="1:15" x14ac:dyDescent="0.55000000000000004">
      <c r="A93" s="61"/>
      <c r="B93" s="73"/>
      <c r="C93" s="73"/>
      <c r="D93" s="73"/>
      <c r="E93" s="73"/>
      <c r="F93" s="74"/>
      <c r="G93" s="74"/>
      <c r="H93" s="73"/>
      <c r="I93" s="73"/>
      <c r="J93" s="73"/>
      <c r="K93" s="73"/>
      <c r="L93" s="74"/>
      <c r="M93" s="74"/>
      <c r="N93" s="73"/>
      <c r="O93" s="70"/>
    </row>
    <row r="94" spans="1:15" x14ac:dyDescent="0.55000000000000004">
      <c r="A94" s="61"/>
      <c r="B94" s="71"/>
      <c r="C94" s="71"/>
      <c r="D94" s="71"/>
      <c r="E94" s="71"/>
      <c r="F94" s="71"/>
      <c r="G94" s="84"/>
      <c r="H94" s="84"/>
      <c r="I94" s="71"/>
      <c r="J94" s="71"/>
      <c r="K94" s="71"/>
      <c r="L94" s="71"/>
      <c r="M94" s="71"/>
      <c r="N94" s="71"/>
    </row>
    <row r="95" spans="1:15" x14ac:dyDescent="0.55000000000000004">
      <c r="A95" s="61"/>
      <c r="B95" s="71"/>
      <c r="C95" s="71"/>
      <c r="D95" s="71"/>
      <c r="E95" s="71"/>
      <c r="F95" s="71"/>
      <c r="G95" s="85"/>
      <c r="H95" s="84"/>
      <c r="I95" s="71"/>
      <c r="J95" s="71"/>
      <c r="K95" s="71"/>
      <c r="L95" s="71"/>
      <c r="M95" s="71"/>
      <c r="N95" s="71"/>
    </row>
    <row r="96" spans="1:15" x14ac:dyDescent="0.55000000000000004">
      <c r="A96" s="61"/>
      <c r="B96" s="71"/>
      <c r="C96" s="71"/>
      <c r="D96" s="71"/>
      <c r="E96" s="71"/>
      <c r="F96" s="84"/>
      <c r="G96" s="84"/>
      <c r="H96" s="71"/>
      <c r="I96" s="71"/>
      <c r="J96" s="71"/>
      <c r="K96" s="71"/>
      <c r="L96" s="71"/>
      <c r="M96" s="71"/>
      <c r="N96" s="71"/>
    </row>
    <row r="97" spans="1:14" x14ac:dyDescent="0.55000000000000004">
      <c r="A97" s="61"/>
      <c r="B97" s="71"/>
      <c r="C97" s="71"/>
      <c r="D97" s="71"/>
      <c r="E97" s="71"/>
      <c r="F97" s="71"/>
      <c r="G97" s="85"/>
      <c r="H97" s="84"/>
      <c r="I97" s="71"/>
      <c r="J97" s="71"/>
      <c r="K97" s="71"/>
      <c r="L97" s="71"/>
      <c r="M97" s="71"/>
      <c r="N97" s="71"/>
    </row>
    <row r="98" spans="1:14" x14ac:dyDescent="0.55000000000000004">
      <c r="A98" s="61"/>
      <c r="B98" s="71"/>
      <c r="C98" s="71"/>
      <c r="D98" s="71"/>
      <c r="E98" s="71"/>
      <c r="F98" s="71"/>
      <c r="G98" s="73"/>
      <c r="H98" s="137"/>
      <c r="I98" s="72"/>
      <c r="J98" s="72"/>
      <c r="K98" s="72"/>
      <c r="L98" s="73"/>
      <c r="M98" s="73"/>
      <c r="N98" s="71"/>
    </row>
    <row r="99" spans="1:14" x14ac:dyDescent="0.55000000000000004">
      <c r="A99" s="61"/>
      <c r="G99" s="93"/>
      <c r="H99" s="93"/>
      <c r="I99" s="93"/>
      <c r="J99" s="93"/>
      <c r="K99" s="93"/>
      <c r="L99" s="93"/>
      <c r="M99" s="93"/>
    </row>
    <row r="100" spans="1:14" x14ac:dyDescent="0.55000000000000004">
      <c r="A100" s="61"/>
    </row>
    <row r="101" spans="1:14" x14ac:dyDescent="0.55000000000000004">
      <c r="A101" s="61"/>
    </row>
    <row r="102" spans="1:14" x14ac:dyDescent="0.55000000000000004">
      <c r="A102" s="61"/>
    </row>
    <row r="103" spans="1:14" x14ac:dyDescent="0.55000000000000004">
      <c r="A103" s="61"/>
    </row>
    <row r="104" spans="1:14" x14ac:dyDescent="0.55000000000000004">
      <c r="A104" s="61"/>
    </row>
    <row r="105" spans="1:14" x14ac:dyDescent="0.55000000000000004">
      <c r="A105" s="61"/>
    </row>
    <row r="106" spans="1:14" x14ac:dyDescent="0.55000000000000004">
      <c r="A106" s="61"/>
    </row>
    <row r="107" spans="1:14" x14ac:dyDescent="0.55000000000000004">
      <c r="A107" s="61"/>
    </row>
    <row r="108" spans="1:14" x14ac:dyDescent="0.55000000000000004">
      <c r="A108" s="61"/>
    </row>
    <row r="109" spans="1:14" x14ac:dyDescent="0.55000000000000004">
      <c r="A109" s="61"/>
    </row>
    <row r="110" spans="1:14" x14ac:dyDescent="0.55000000000000004">
      <c r="A110" s="61"/>
    </row>
    <row r="111" spans="1:14" x14ac:dyDescent="0.55000000000000004">
      <c r="A111" s="61"/>
    </row>
    <row r="112" spans="1:14" x14ac:dyDescent="0.55000000000000004">
      <c r="A112" s="61"/>
    </row>
    <row r="113" spans="1:1" x14ac:dyDescent="0.55000000000000004">
      <c r="A113" s="61"/>
    </row>
    <row r="114" spans="1:1" x14ac:dyDescent="0.55000000000000004">
      <c r="A114" s="61"/>
    </row>
    <row r="115" spans="1:1" x14ac:dyDescent="0.55000000000000004">
      <c r="A115" s="61"/>
    </row>
    <row r="116" spans="1:1" x14ac:dyDescent="0.55000000000000004">
      <c r="A116" s="61"/>
    </row>
    <row r="117" spans="1:1" x14ac:dyDescent="0.55000000000000004">
      <c r="A117" s="61"/>
    </row>
    <row r="118" spans="1:1" x14ac:dyDescent="0.55000000000000004">
      <c r="A118" s="61"/>
    </row>
    <row r="119" spans="1:1" x14ac:dyDescent="0.55000000000000004">
      <c r="A119" s="61"/>
    </row>
    <row r="120" spans="1:1" x14ac:dyDescent="0.55000000000000004">
      <c r="A120" s="61"/>
    </row>
    <row r="121" spans="1:1" x14ac:dyDescent="0.55000000000000004">
      <c r="A121" s="61"/>
    </row>
    <row r="122" spans="1:1" x14ac:dyDescent="0.55000000000000004">
      <c r="A122" s="61"/>
    </row>
    <row r="123" spans="1:1" x14ac:dyDescent="0.55000000000000004">
      <c r="A123" s="61"/>
    </row>
    <row r="124" spans="1:1" x14ac:dyDescent="0.55000000000000004">
      <c r="A124" s="61"/>
    </row>
    <row r="125" spans="1:1" x14ac:dyDescent="0.55000000000000004">
      <c r="A125" s="61"/>
    </row>
    <row r="126" spans="1:1" x14ac:dyDescent="0.55000000000000004">
      <c r="A126" s="61"/>
    </row>
    <row r="127" spans="1:1" x14ac:dyDescent="0.55000000000000004">
      <c r="A127" s="61"/>
    </row>
    <row r="128" spans="1:1" x14ac:dyDescent="0.55000000000000004">
      <c r="A128" s="61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opLeftCell="A52" zoomScale="55" zoomScaleNormal="55" workbookViewId="0">
      <selection activeCell="K26" sqref="K26"/>
    </sheetView>
  </sheetViews>
  <sheetFormatPr baseColWidth="10" defaultColWidth="9.15625" defaultRowHeight="14.4" x14ac:dyDescent="0.55000000000000004"/>
  <cols>
    <col min="3" max="3" width="10.20703125" customWidth="1"/>
    <col min="6" max="6" width="13.578125" bestFit="1" customWidth="1"/>
    <col min="7" max="7" width="11.68359375" bestFit="1" customWidth="1"/>
    <col min="8" max="8" width="9.15625" customWidth="1"/>
    <col min="12" max="13" width="9.15625" customWidth="1"/>
  </cols>
  <sheetData>
    <row r="1" spans="1:10" x14ac:dyDescent="0.55000000000000004">
      <c r="A1" s="3" t="s">
        <v>0</v>
      </c>
      <c r="B1" s="3"/>
      <c r="C1" s="3"/>
      <c r="D1" s="3" t="s">
        <v>153</v>
      </c>
      <c r="E1" s="3"/>
      <c r="F1" s="3" t="s">
        <v>4</v>
      </c>
      <c r="H1" t="s">
        <v>139</v>
      </c>
    </row>
    <row r="3" spans="1:10" x14ac:dyDescent="0.55000000000000004">
      <c r="A3" t="s">
        <v>5</v>
      </c>
      <c r="B3" t="str">
        <f>VLOOKUP(C6,Listado!B3:C22,2,FALSE)</f>
        <v>Bringas Temido, Ramón</v>
      </c>
      <c r="F3" t="s">
        <v>6</v>
      </c>
      <c r="G3" s="91"/>
      <c r="I3" t="s">
        <v>7</v>
      </c>
      <c r="J3" s="8"/>
    </row>
    <row r="4" spans="1:10" x14ac:dyDescent="0.55000000000000004">
      <c r="J4" s="8"/>
    </row>
    <row r="5" spans="1:10" ht="15" customHeight="1" x14ac:dyDescent="0.55000000000000004">
      <c r="B5" s="4"/>
      <c r="C5" s="4"/>
      <c r="D5" s="28"/>
      <c r="E5" s="28"/>
      <c r="F5" s="28"/>
      <c r="G5" s="28"/>
      <c r="H5" s="28"/>
      <c r="I5" s="4"/>
      <c r="J5" s="4"/>
    </row>
    <row r="6" spans="1:10" ht="15" customHeight="1" x14ac:dyDescent="0.55000000000000004">
      <c r="A6" s="4"/>
      <c r="B6" s="31" t="s">
        <v>130</v>
      </c>
      <c r="C6" s="92" t="s">
        <v>131</v>
      </c>
      <c r="D6" s="29"/>
      <c r="E6" s="29"/>
      <c r="F6" s="29"/>
      <c r="G6" s="29"/>
      <c r="H6" s="29"/>
      <c r="I6" s="4"/>
      <c r="J6" s="4"/>
    </row>
    <row r="7" spans="1:10" x14ac:dyDescent="0.55000000000000004">
      <c r="A7" s="93"/>
      <c r="B7" s="12" t="s">
        <v>8</v>
      </c>
      <c r="C7" s="15" t="str">
        <f>MID($C$6,1,1)</f>
        <v>7</v>
      </c>
      <c r="D7" s="93"/>
      <c r="E7" s="93" t="s">
        <v>144</v>
      </c>
      <c r="F7" s="93"/>
      <c r="G7" s="94" t="s">
        <v>8</v>
      </c>
      <c r="H7" s="94">
        <v>12</v>
      </c>
      <c r="I7" s="94" t="s">
        <v>145</v>
      </c>
      <c r="J7" s="93"/>
    </row>
    <row r="8" spans="1:10" x14ac:dyDescent="0.55000000000000004">
      <c r="A8" s="95"/>
      <c r="B8" s="13" t="s">
        <v>9</v>
      </c>
      <c r="C8" s="16" t="str">
        <f>MID($C$6,2,1)</f>
        <v>5</v>
      </c>
      <c r="D8" s="93"/>
      <c r="E8" s="93" t="s">
        <v>146</v>
      </c>
      <c r="F8" s="93"/>
      <c r="G8" s="94" t="s">
        <v>147</v>
      </c>
      <c r="H8" s="94">
        <v>8</v>
      </c>
      <c r="I8" s="94" t="s">
        <v>148</v>
      </c>
      <c r="J8" s="93"/>
    </row>
    <row r="9" spans="1:10" x14ac:dyDescent="0.55000000000000004">
      <c r="A9" s="95"/>
      <c r="B9" s="13" t="s">
        <v>2</v>
      </c>
      <c r="C9" s="16" t="str">
        <f>MID($C$6,3,1)</f>
        <v>8</v>
      </c>
      <c r="D9" s="93"/>
      <c r="E9" s="93" t="s">
        <v>149</v>
      </c>
      <c r="F9" s="93"/>
      <c r="G9" s="94" t="s">
        <v>150</v>
      </c>
      <c r="H9" s="96">
        <f>6+C7</f>
        <v>13</v>
      </c>
      <c r="I9" s="94" t="s">
        <v>49</v>
      </c>
      <c r="J9" s="93"/>
    </row>
    <row r="10" spans="1:10" x14ac:dyDescent="0.55000000000000004">
      <c r="A10" s="95"/>
      <c r="B10" s="13" t="s">
        <v>1</v>
      </c>
      <c r="C10" s="16" t="str">
        <f>MID($C$6,4,1)</f>
        <v>9</v>
      </c>
      <c r="D10" s="93"/>
      <c r="E10" s="93"/>
      <c r="F10" s="93"/>
      <c r="G10" s="93"/>
      <c r="H10" s="94"/>
      <c r="I10" s="93"/>
      <c r="J10" s="93"/>
    </row>
    <row r="11" spans="1:10" x14ac:dyDescent="0.55000000000000004">
      <c r="A11" s="95"/>
      <c r="B11" s="97" t="s">
        <v>12</v>
      </c>
      <c r="C11" s="16" t="str">
        <f>MID($C$6,5,1)</f>
        <v>6</v>
      </c>
      <c r="D11" s="93"/>
      <c r="E11" s="93"/>
      <c r="F11" s="93"/>
      <c r="G11" s="95"/>
      <c r="H11" s="94"/>
      <c r="I11" s="93"/>
      <c r="J11" s="93"/>
    </row>
    <row r="12" spans="1:10" x14ac:dyDescent="0.55000000000000004">
      <c r="A12" s="95"/>
      <c r="B12" s="13" t="s">
        <v>10</v>
      </c>
      <c r="C12" s="16" t="str">
        <f>MID($C$6,6,1)</f>
        <v>3</v>
      </c>
      <c r="D12" s="93"/>
      <c r="E12" s="93"/>
      <c r="F12" s="93"/>
      <c r="G12" s="95"/>
      <c r="H12" s="94"/>
      <c r="I12" s="93"/>
      <c r="J12" s="93"/>
    </row>
    <row r="13" spans="1:10" x14ac:dyDescent="0.55000000000000004">
      <c r="A13" s="93"/>
      <c r="B13" s="13" t="s">
        <v>11</v>
      </c>
      <c r="C13" s="16" t="str">
        <f>MID($C$6,7,1)</f>
        <v>4</v>
      </c>
      <c r="D13" s="93"/>
      <c r="E13" s="93"/>
      <c r="F13" s="93"/>
      <c r="G13" s="95"/>
      <c r="H13" s="93"/>
      <c r="I13" s="93"/>
      <c r="J13" s="93"/>
    </row>
    <row r="14" spans="1:10" x14ac:dyDescent="0.55000000000000004">
      <c r="A14" s="93"/>
      <c r="B14" s="98" t="s">
        <v>3</v>
      </c>
      <c r="C14" s="99" t="str">
        <f>MID($C$6,8,1)</f>
        <v>2</v>
      </c>
      <c r="D14" s="93"/>
      <c r="E14" s="93"/>
      <c r="F14" s="93"/>
      <c r="G14" s="95"/>
      <c r="H14" s="93"/>
      <c r="I14" s="93"/>
      <c r="J14" s="93"/>
    </row>
    <row r="15" spans="1:10" x14ac:dyDescent="0.55000000000000004">
      <c r="A15" s="93"/>
      <c r="B15" s="100"/>
      <c r="C15" s="100"/>
      <c r="D15" s="93"/>
      <c r="E15" s="93"/>
      <c r="F15" s="93"/>
      <c r="G15" s="95"/>
      <c r="H15" s="93"/>
      <c r="I15" s="93"/>
      <c r="J15" s="93"/>
    </row>
    <row r="16" spans="1:10" x14ac:dyDescent="0.55000000000000004">
      <c r="A16" s="93" t="s">
        <v>13</v>
      </c>
      <c r="B16" s="101"/>
      <c r="C16" s="93"/>
      <c r="D16" s="93"/>
      <c r="E16" s="93"/>
      <c r="F16" s="93"/>
      <c r="G16" s="95"/>
      <c r="H16" s="102"/>
      <c r="I16" s="95"/>
      <c r="J16" s="94"/>
    </row>
    <row r="17" spans="1:11" x14ac:dyDescent="0.55000000000000004">
      <c r="A17" s="93"/>
      <c r="B17" s="103" t="s">
        <v>14</v>
      </c>
      <c r="C17" s="93"/>
      <c r="D17" s="93"/>
      <c r="E17" s="93"/>
      <c r="F17" s="95"/>
      <c r="G17" s="95"/>
      <c r="H17" s="93"/>
      <c r="I17" s="95"/>
      <c r="J17" s="94"/>
    </row>
    <row r="18" spans="1:11" x14ac:dyDescent="0.55000000000000004">
      <c r="A18" s="93"/>
      <c r="B18" s="101"/>
      <c r="C18" s="93" t="s">
        <v>15</v>
      </c>
      <c r="D18" s="93"/>
      <c r="E18" s="93"/>
      <c r="F18" s="95"/>
      <c r="G18" s="95"/>
      <c r="H18" s="93"/>
      <c r="I18" s="95"/>
      <c r="J18" s="94"/>
    </row>
    <row r="19" spans="1:11" x14ac:dyDescent="0.55000000000000004">
      <c r="G19" s="95"/>
      <c r="H19" s="93"/>
      <c r="I19" s="95"/>
      <c r="J19" s="94"/>
    </row>
    <row r="20" spans="1:11" x14ac:dyDescent="0.55000000000000004">
      <c r="A20" s="101" t="s">
        <v>132</v>
      </c>
      <c r="B20" s="93"/>
      <c r="C20" s="93"/>
      <c r="D20" s="95"/>
      <c r="E20" s="95"/>
      <c r="F20" s="94"/>
      <c r="G20" s="94" t="s">
        <v>16</v>
      </c>
      <c r="H20" s="94" t="s">
        <v>133</v>
      </c>
      <c r="I20" s="94">
        <f>7+$C$11</f>
        <v>13</v>
      </c>
      <c r="J20" s="94" t="s">
        <v>17</v>
      </c>
    </row>
    <row r="21" spans="1:11" x14ac:dyDescent="0.55000000000000004">
      <c r="A21" s="93"/>
      <c r="B21" s="104" t="s">
        <v>154</v>
      </c>
      <c r="C21" s="93"/>
      <c r="D21" s="95"/>
      <c r="E21" s="95"/>
      <c r="F21" s="93"/>
      <c r="G21" s="95"/>
      <c r="H21" s="94" t="s">
        <v>155</v>
      </c>
      <c r="I21" s="105">
        <v>1.3</v>
      </c>
      <c r="J21" s="94"/>
    </row>
    <row r="22" spans="1:11" x14ac:dyDescent="0.55000000000000004">
      <c r="A22" s="93"/>
      <c r="B22" s="93"/>
      <c r="C22" s="103" t="s">
        <v>156</v>
      </c>
      <c r="D22" s="106"/>
      <c r="E22" s="106"/>
      <c r="F22" s="102" t="s">
        <v>19</v>
      </c>
      <c r="G22" s="102" t="s">
        <v>20</v>
      </c>
      <c r="H22" s="94" t="s">
        <v>134</v>
      </c>
      <c r="I22" s="94">
        <f xml:space="preserve"> 6 + (2*$C$8)</f>
        <v>16</v>
      </c>
      <c r="J22" s="94" t="s">
        <v>17</v>
      </c>
    </row>
    <row r="23" spans="1:11" x14ac:dyDescent="0.55000000000000004">
      <c r="A23" s="93"/>
      <c r="B23" s="93"/>
      <c r="C23" s="101"/>
      <c r="D23" s="106"/>
      <c r="E23" s="106"/>
      <c r="F23" s="102" t="s">
        <v>21</v>
      </c>
      <c r="G23" s="102" t="s">
        <v>22</v>
      </c>
      <c r="H23" s="102" t="s">
        <v>135</v>
      </c>
      <c r="I23" s="102">
        <f xml:space="preserve"> 2 + $C$8</f>
        <v>7</v>
      </c>
      <c r="J23" s="102" t="s">
        <v>17</v>
      </c>
    </row>
    <row r="24" spans="1:11" x14ac:dyDescent="0.55000000000000004">
      <c r="A24" s="93"/>
      <c r="B24" s="93"/>
      <c r="C24" s="93"/>
      <c r="D24" s="95"/>
      <c r="E24" s="95"/>
      <c r="F24" s="94"/>
      <c r="G24" s="107" t="s">
        <v>23</v>
      </c>
      <c r="H24" s="107" t="s">
        <v>136</v>
      </c>
      <c r="I24" s="94">
        <f>2+(0.2*$C$10)</f>
        <v>3.8</v>
      </c>
      <c r="J24" s="94" t="s">
        <v>24</v>
      </c>
    </row>
    <row r="25" spans="1:11" x14ac:dyDescent="0.55000000000000004">
      <c r="A25" s="93"/>
      <c r="B25" s="93"/>
      <c r="C25" s="93"/>
      <c r="D25" s="95"/>
      <c r="E25" s="95"/>
      <c r="F25" s="94"/>
      <c r="G25" s="107" t="s">
        <v>25</v>
      </c>
      <c r="H25" s="108" t="s">
        <v>137</v>
      </c>
      <c r="I25" s="94">
        <f>1.6+(0.1*$C$10)</f>
        <v>2.5</v>
      </c>
      <c r="J25" s="94" t="s">
        <v>24</v>
      </c>
      <c r="K25" s="93"/>
    </row>
    <row r="26" spans="1:11" x14ac:dyDescent="0.55000000000000004">
      <c r="A26" s="93"/>
      <c r="B26" s="93"/>
      <c r="C26" s="94" t="s">
        <v>157</v>
      </c>
      <c r="D26" s="94">
        <f>((I22*I24)+(I23*(I24+I25)))</f>
        <v>104.9</v>
      </c>
      <c r="E26" s="94" t="s">
        <v>26</v>
      </c>
      <c r="F26" s="94"/>
      <c r="G26" s="93"/>
      <c r="H26" s="93"/>
      <c r="I26" s="95"/>
      <c r="J26" s="94"/>
      <c r="K26" s="93"/>
    </row>
    <row r="27" spans="1:11" x14ac:dyDescent="0.55000000000000004">
      <c r="A27" s="93"/>
      <c r="B27" s="109"/>
      <c r="C27" s="17" t="s">
        <v>27</v>
      </c>
      <c r="D27" s="18" t="s">
        <v>158</v>
      </c>
      <c r="E27" s="33">
        <f>D26/(I21*I20)</f>
        <v>6.2071005917159763</v>
      </c>
      <c r="F27" s="20" t="s">
        <v>24</v>
      </c>
      <c r="G27" s="93"/>
      <c r="H27" s="93"/>
      <c r="I27" s="93"/>
      <c r="J27" s="93"/>
      <c r="K27" s="93"/>
    </row>
    <row r="28" spans="1:11" x14ac:dyDescent="0.55000000000000004">
      <c r="A28" s="93"/>
      <c r="B28" s="93"/>
      <c r="C28" s="93"/>
      <c r="D28" s="93"/>
      <c r="E28" s="93"/>
      <c r="F28" s="93"/>
      <c r="G28" s="93"/>
      <c r="H28" s="110"/>
      <c r="I28" s="93"/>
      <c r="J28" s="93"/>
      <c r="K28" s="93"/>
    </row>
    <row r="29" spans="1:11" x14ac:dyDescent="0.55000000000000004">
      <c r="A29" s="101" t="s">
        <v>138</v>
      </c>
      <c r="B29" s="93"/>
      <c r="C29" s="93"/>
      <c r="D29" s="93"/>
      <c r="E29" s="93"/>
      <c r="F29" s="93"/>
      <c r="G29" s="93"/>
      <c r="H29" s="111"/>
      <c r="I29" s="93"/>
      <c r="J29" s="93"/>
      <c r="K29" s="93"/>
    </row>
    <row r="30" spans="1:11" x14ac:dyDescent="0.55000000000000004">
      <c r="A30" s="93"/>
      <c r="B30" s="104" t="s">
        <v>154</v>
      </c>
      <c r="C30" s="93"/>
      <c r="D30" s="95"/>
      <c r="E30" s="95"/>
      <c r="F30" s="93"/>
      <c r="G30" s="95"/>
      <c r="H30" s="94"/>
      <c r="I30" s="105"/>
      <c r="J30" s="94"/>
      <c r="K30" s="93"/>
    </row>
    <row r="31" spans="1:11" x14ac:dyDescent="0.55000000000000004">
      <c r="A31" s="93"/>
      <c r="B31" s="93"/>
      <c r="C31" s="103" t="s">
        <v>18</v>
      </c>
      <c r="D31" s="106"/>
      <c r="E31" s="106"/>
      <c r="F31" s="102" t="s">
        <v>19</v>
      </c>
      <c r="G31" s="102" t="s">
        <v>20</v>
      </c>
      <c r="H31" s="94" t="s">
        <v>134</v>
      </c>
      <c r="I31" s="94">
        <f xml:space="preserve"> 6 + (2*$C$8)</f>
        <v>16</v>
      </c>
      <c r="J31" s="94" t="s">
        <v>17</v>
      </c>
      <c r="K31" s="93"/>
    </row>
    <row r="32" spans="1:11" x14ac:dyDescent="0.55000000000000004">
      <c r="A32" s="93"/>
      <c r="B32" s="93"/>
      <c r="C32" s="101"/>
      <c r="D32" s="106"/>
      <c r="E32" s="106"/>
      <c r="F32" s="102" t="s">
        <v>21</v>
      </c>
      <c r="G32" s="102" t="s">
        <v>22</v>
      </c>
      <c r="H32" s="102" t="s">
        <v>135</v>
      </c>
      <c r="I32" s="102">
        <f xml:space="preserve"> 2 + $C$8</f>
        <v>7</v>
      </c>
      <c r="J32" s="102" t="s">
        <v>17</v>
      </c>
      <c r="K32" s="93"/>
    </row>
    <row r="33" spans="1:14" x14ac:dyDescent="0.55000000000000004">
      <c r="A33" s="93"/>
      <c r="B33" s="93"/>
      <c r="C33" s="93"/>
      <c r="D33" s="95"/>
      <c r="E33" s="95"/>
      <c r="F33" s="94"/>
      <c r="G33" s="107" t="s">
        <v>23</v>
      </c>
      <c r="H33" s="107" t="s">
        <v>136</v>
      </c>
      <c r="I33" s="94">
        <f>2+(0.2*$C$10)</f>
        <v>3.8</v>
      </c>
      <c r="J33" s="94" t="s">
        <v>24</v>
      </c>
      <c r="K33" s="93"/>
    </row>
    <row r="34" spans="1:14" x14ac:dyDescent="0.55000000000000004">
      <c r="A34" s="93"/>
      <c r="B34" s="93"/>
      <c r="C34" s="93"/>
      <c r="D34" s="95"/>
      <c r="E34" s="95"/>
      <c r="F34" s="94"/>
      <c r="G34" s="107" t="s">
        <v>25</v>
      </c>
      <c r="H34" s="108" t="s">
        <v>137</v>
      </c>
      <c r="I34" s="94">
        <f>1.6+(0.1*$C$10)</f>
        <v>2.5</v>
      </c>
      <c r="J34" s="94" t="s">
        <v>24</v>
      </c>
      <c r="K34" s="93"/>
    </row>
    <row r="35" spans="1:14" x14ac:dyDescent="0.55000000000000004">
      <c r="A35" s="93"/>
      <c r="B35" s="93"/>
      <c r="C35" s="94" t="s">
        <v>32</v>
      </c>
      <c r="D35" s="94">
        <f>((I31*I33)+(I32*(I33+I34)))</f>
        <v>104.9</v>
      </c>
      <c r="E35" s="94" t="s">
        <v>26</v>
      </c>
      <c r="F35" s="94"/>
      <c r="G35" s="93"/>
      <c r="H35" s="93"/>
      <c r="I35" s="95"/>
      <c r="J35" s="94"/>
      <c r="K35" s="93"/>
      <c r="L35" s="93"/>
      <c r="M35" s="93"/>
      <c r="N35" s="93"/>
    </row>
    <row r="36" spans="1:14" x14ac:dyDescent="0.55000000000000004">
      <c r="A36" s="93"/>
      <c r="B36" s="109"/>
      <c r="C36" s="17" t="s">
        <v>33</v>
      </c>
      <c r="D36" s="55" t="s">
        <v>28</v>
      </c>
      <c r="E36" s="56">
        <f>D35/(2*I21)</f>
        <v>40.346153846153847</v>
      </c>
      <c r="F36" s="20" t="s">
        <v>17</v>
      </c>
      <c r="G36" s="93"/>
      <c r="H36" s="93"/>
      <c r="I36" s="93"/>
      <c r="J36" s="93"/>
      <c r="K36" s="93"/>
      <c r="L36" s="93"/>
      <c r="M36" s="93"/>
      <c r="N36" s="93"/>
    </row>
    <row r="37" spans="1:14" x14ac:dyDescent="0.55000000000000004">
      <c r="A37" s="93"/>
      <c r="B37" s="93"/>
      <c r="C37" s="93"/>
      <c r="D37" s="93"/>
      <c r="E37" s="93"/>
      <c r="F37" s="93"/>
      <c r="G37" s="93"/>
      <c r="H37" s="95"/>
      <c r="I37" s="110"/>
      <c r="J37" s="93"/>
      <c r="K37" s="93"/>
      <c r="L37" s="93"/>
      <c r="M37" s="93"/>
      <c r="N37" s="93"/>
    </row>
    <row r="38" spans="1:14" x14ac:dyDescent="0.55000000000000004">
      <c r="A38" s="101" t="s">
        <v>29</v>
      </c>
      <c r="B38" s="93"/>
      <c r="C38" s="93"/>
      <c r="D38" s="93"/>
      <c r="E38" s="93"/>
      <c r="F38" s="93"/>
      <c r="G38" s="95"/>
      <c r="H38" s="112"/>
      <c r="I38" s="93"/>
      <c r="J38" s="113"/>
      <c r="K38" s="93"/>
      <c r="L38" s="93"/>
      <c r="M38" s="93"/>
      <c r="N38" s="93"/>
    </row>
    <row r="39" spans="1:14" x14ac:dyDescent="0.55000000000000004">
      <c r="A39" s="93"/>
      <c r="B39" s="93" t="s">
        <v>30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x14ac:dyDescent="0.55000000000000004">
      <c r="A40" s="93"/>
      <c r="B40" s="93"/>
      <c r="C40" s="17" t="s">
        <v>31</v>
      </c>
      <c r="D40" s="21" t="s">
        <v>34</v>
      </c>
      <c r="E40" s="21"/>
      <c r="F40" s="56">
        <f xml:space="preserve"> (I21*E36)+I31+I32</f>
        <v>75.45</v>
      </c>
      <c r="G40" s="20" t="s">
        <v>17</v>
      </c>
      <c r="H40" s="95"/>
      <c r="I40" s="114"/>
      <c r="J40" s="93"/>
      <c r="K40" s="93"/>
      <c r="L40" s="93"/>
      <c r="M40" s="93"/>
      <c r="N40" s="93"/>
    </row>
    <row r="41" spans="1:14" x14ac:dyDescent="0.55000000000000004">
      <c r="A41" s="93"/>
      <c r="B41" s="93"/>
      <c r="C41" s="103" t="s">
        <v>35</v>
      </c>
      <c r="D41" s="93"/>
      <c r="E41" s="93"/>
      <c r="F41" s="106"/>
      <c r="G41" s="115"/>
      <c r="H41" s="115"/>
      <c r="I41" s="116"/>
      <c r="J41" s="93"/>
      <c r="K41" s="93"/>
      <c r="L41" s="93"/>
      <c r="M41" s="93"/>
      <c r="N41" s="93"/>
    </row>
    <row r="42" spans="1:14" x14ac:dyDescent="0.55000000000000004">
      <c r="A42" s="93"/>
      <c r="B42" s="93" t="s">
        <v>140</v>
      </c>
      <c r="C42" s="103"/>
      <c r="D42" s="93"/>
      <c r="E42" s="93"/>
      <c r="F42" s="106"/>
      <c r="G42" s="115"/>
      <c r="H42" s="115"/>
      <c r="I42" s="116"/>
      <c r="J42" s="93"/>
      <c r="K42" s="93"/>
      <c r="L42" s="93"/>
      <c r="M42" s="93"/>
      <c r="N42" s="93"/>
    </row>
    <row r="43" spans="1:14" x14ac:dyDescent="0.55000000000000004">
      <c r="A43" s="93"/>
      <c r="B43" s="93"/>
      <c r="C43" s="101" t="s">
        <v>141</v>
      </c>
      <c r="D43" s="93"/>
      <c r="E43" s="93"/>
      <c r="F43" s="106"/>
      <c r="G43" s="115" t="s">
        <v>142</v>
      </c>
      <c r="H43" s="34">
        <f>F40/2</f>
        <v>37.725000000000001</v>
      </c>
      <c r="I43" s="116" t="s">
        <v>17</v>
      </c>
      <c r="J43" s="93"/>
      <c r="K43" s="93"/>
      <c r="L43" s="93"/>
      <c r="M43" s="93"/>
      <c r="N43" s="93"/>
    </row>
    <row r="44" spans="1:14" x14ac:dyDescent="0.55000000000000004">
      <c r="A44" s="93"/>
      <c r="B44" s="93"/>
      <c r="C44" s="103"/>
      <c r="D44" s="93"/>
      <c r="E44" s="93"/>
      <c r="F44" s="106"/>
      <c r="G44" s="115"/>
      <c r="H44" s="115"/>
      <c r="I44" s="116"/>
      <c r="J44" s="93"/>
      <c r="K44" s="93"/>
      <c r="L44" s="93"/>
      <c r="M44" s="93"/>
      <c r="N44" s="93"/>
    </row>
    <row r="45" spans="1:14" x14ac:dyDescent="0.55000000000000004">
      <c r="K45" s="93"/>
      <c r="L45" s="93"/>
      <c r="M45" s="93"/>
      <c r="N45" s="93"/>
    </row>
    <row r="46" spans="1:14" x14ac:dyDescent="0.55000000000000004">
      <c r="A46" s="101" t="s">
        <v>36</v>
      </c>
      <c r="B46" s="93"/>
      <c r="C46" s="101"/>
      <c r="D46" s="93"/>
      <c r="E46" s="93"/>
      <c r="F46" s="93"/>
      <c r="G46" s="115"/>
      <c r="H46" s="106"/>
      <c r="I46" s="116"/>
      <c r="J46" s="101"/>
      <c r="K46" s="101"/>
      <c r="L46" s="93"/>
      <c r="M46" s="93"/>
      <c r="N46" s="93"/>
    </row>
    <row r="47" spans="1:14" x14ac:dyDescent="0.55000000000000004">
      <c r="A47" s="93"/>
      <c r="B47" s="93" t="s">
        <v>37</v>
      </c>
      <c r="C47" s="101"/>
      <c r="D47" s="94" t="s">
        <v>38</v>
      </c>
      <c r="E47" s="94">
        <v>4</v>
      </c>
      <c r="F47" s="93"/>
      <c r="G47" s="115"/>
      <c r="H47" s="106"/>
      <c r="I47" s="116"/>
      <c r="J47" s="101"/>
      <c r="K47" s="101"/>
      <c r="L47" s="93"/>
      <c r="M47" s="93"/>
      <c r="N47" s="93"/>
    </row>
    <row r="48" spans="1:14" x14ac:dyDescent="0.55000000000000004">
      <c r="A48" s="93"/>
      <c r="B48" s="93" t="s">
        <v>39</v>
      </c>
      <c r="C48" s="93"/>
      <c r="D48" s="94" t="s">
        <v>40</v>
      </c>
      <c r="E48" s="117">
        <v>0.95</v>
      </c>
      <c r="F48" s="93" t="s">
        <v>143</v>
      </c>
      <c r="G48" s="93"/>
      <c r="H48" s="93"/>
      <c r="I48" s="93"/>
      <c r="J48" s="93"/>
      <c r="K48" s="93"/>
      <c r="L48" s="93"/>
      <c r="M48" s="93"/>
      <c r="N48" s="93"/>
    </row>
    <row r="49" spans="1:14" x14ac:dyDescent="0.55000000000000004">
      <c r="A49" s="93"/>
      <c r="B49" s="17" t="s">
        <v>41</v>
      </c>
      <c r="C49" s="21" t="s">
        <v>42</v>
      </c>
      <c r="D49" s="21"/>
      <c r="E49" s="56">
        <v>15.01</v>
      </c>
      <c r="F49" s="20" t="s">
        <v>17</v>
      </c>
      <c r="G49" s="117" t="s">
        <v>159</v>
      </c>
      <c r="H49" s="93"/>
      <c r="I49" s="93"/>
      <c r="J49" s="93"/>
      <c r="K49" s="93"/>
      <c r="L49" s="93"/>
      <c r="M49" s="93"/>
      <c r="N49" s="93"/>
    </row>
    <row r="50" spans="1:14" x14ac:dyDescent="0.55000000000000004">
      <c r="N50" s="93"/>
    </row>
    <row r="51" spans="1:14" x14ac:dyDescent="0.55000000000000004">
      <c r="A51" s="3" t="s">
        <v>43</v>
      </c>
      <c r="N51" s="93"/>
    </row>
    <row r="52" spans="1:14" x14ac:dyDescent="0.55000000000000004">
      <c r="B52" t="s">
        <v>44</v>
      </c>
      <c r="C52" s="5">
        <f>H7</f>
        <v>12</v>
      </c>
      <c r="E52" t="s">
        <v>45</v>
      </c>
      <c r="G52" s="57">
        <f>7*4*12</f>
        <v>336</v>
      </c>
      <c r="N52" s="93"/>
    </row>
    <row r="53" spans="1:14" x14ac:dyDescent="0.55000000000000004">
      <c r="B53" t="s">
        <v>47</v>
      </c>
      <c r="C53" s="5">
        <f>H8</f>
        <v>8</v>
      </c>
      <c r="E53" t="s">
        <v>48</v>
      </c>
      <c r="G53" s="23">
        <f>H9</f>
        <v>13</v>
      </c>
      <c r="H53" t="s">
        <v>49</v>
      </c>
      <c r="N53" s="93"/>
    </row>
    <row r="54" spans="1:14" x14ac:dyDescent="0.55000000000000004">
      <c r="B54" t="s">
        <v>50</v>
      </c>
      <c r="D54" s="9">
        <f>60/G53</f>
        <v>4.615384615384615</v>
      </c>
      <c r="N54" s="93"/>
    </row>
    <row r="55" spans="1:14" x14ac:dyDescent="0.55000000000000004">
      <c r="B55" t="s">
        <v>51</v>
      </c>
      <c r="D55" t="s">
        <v>151</v>
      </c>
      <c r="I55" s="5">
        <f>C52*G52*C53*D54</f>
        <v>148873.84615384613</v>
      </c>
      <c r="J55" t="s">
        <v>52</v>
      </c>
      <c r="K55" t="s">
        <v>54</v>
      </c>
      <c r="L55" s="5" t="s">
        <v>160</v>
      </c>
      <c r="N55" s="93"/>
    </row>
    <row r="56" spans="1:14" x14ac:dyDescent="0.55000000000000004">
      <c r="B56" t="s">
        <v>53</v>
      </c>
      <c r="E56" s="5" t="s">
        <v>55</v>
      </c>
      <c r="F56" s="23"/>
      <c r="N56" s="93"/>
    </row>
    <row r="57" spans="1:14" x14ac:dyDescent="0.55000000000000004">
      <c r="B57" s="24" t="s">
        <v>57</v>
      </c>
      <c r="C57" s="25"/>
      <c r="D57" s="25"/>
      <c r="E57" s="19" t="str">
        <f>L55</f>
        <v>U4</v>
      </c>
      <c r="F57" s="19" t="s">
        <v>55</v>
      </c>
      <c r="G57" s="26" t="s">
        <v>56</v>
      </c>
      <c r="H57" s="20" t="s">
        <v>161</v>
      </c>
      <c r="N57" s="93"/>
    </row>
    <row r="58" spans="1:14" x14ac:dyDescent="0.55000000000000004">
      <c r="N58" s="93"/>
    </row>
    <row r="59" spans="1:14" x14ac:dyDescent="0.55000000000000004">
      <c r="B59" t="s">
        <v>58</v>
      </c>
      <c r="E59" s="54" t="s">
        <v>162</v>
      </c>
      <c r="K59" s="5" t="s">
        <v>63</v>
      </c>
      <c r="L59" s="5">
        <v>0.7</v>
      </c>
      <c r="N59" s="93"/>
    </row>
    <row r="60" spans="1:14" x14ac:dyDescent="0.55000000000000004">
      <c r="B60" t="s">
        <v>60</v>
      </c>
      <c r="E60" s="54" t="s">
        <v>163</v>
      </c>
      <c r="I60" s="5">
        <f>C52*340*C53</f>
        <v>32640</v>
      </c>
      <c r="J60" s="5" t="s">
        <v>61</v>
      </c>
      <c r="L60" s="5"/>
      <c r="N60" s="93"/>
    </row>
    <row r="61" spans="1:14" x14ac:dyDescent="0.55000000000000004">
      <c r="B61" t="s">
        <v>62</v>
      </c>
      <c r="G61" s="5">
        <f>L59*I60</f>
        <v>22848</v>
      </c>
      <c r="H61" s="5" t="s">
        <v>61</v>
      </c>
      <c r="J61" t="s">
        <v>64</v>
      </c>
      <c r="L61" s="5" t="s">
        <v>65</v>
      </c>
      <c r="N61" s="93"/>
    </row>
    <row r="62" spans="1:14" x14ac:dyDescent="0.55000000000000004">
      <c r="B62" t="s">
        <v>66</v>
      </c>
      <c r="E62" s="5" t="s">
        <v>67</v>
      </c>
      <c r="F62" s="23"/>
      <c r="N62" s="93"/>
    </row>
    <row r="63" spans="1:14" x14ac:dyDescent="0.55000000000000004">
      <c r="B63" s="24" t="s">
        <v>68</v>
      </c>
      <c r="C63" s="25"/>
      <c r="D63" s="25"/>
      <c r="E63" s="19" t="str">
        <f>L61</f>
        <v>T7</v>
      </c>
      <c r="F63" s="19" t="s">
        <v>67</v>
      </c>
      <c r="G63" s="26" t="s">
        <v>56</v>
      </c>
      <c r="H63" s="20" t="s">
        <v>69</v>
      </c>
      <c r="N63" s="93"/>
    </row>
    <row r="64" spans="1:14" x14ac:dyDescent="0.55000000000000004">
      <c r="N64" s="93"/>
    </row>
    <row r="65" spans="1:13" x14ac:dyDescent="0.55000000000000004">
      <c r="A65" s="3" t="s">
        <v>70</v>
      </c>
    </row>
    <row r="66" spans="1:13" x14ac:dyDescent="0.55000000000000004">
      <c r="B66" t="s">
        <v>71</v>
      </c>
      <c r="H66" s="5" t="s">
        <v>78</v>
      </c>
      <c r="I66" s="5" t="s">
        <v>72</v>
      </c>
      <c r="J66" s="9">
        <f>I24+E27</f>
        <v>10.007100591715975</v>
      </c>
      <c r="K66" s="5" t="s">
        <v>24</v>
      </c>
    </row>
    <row r="67" spans="1:13" x14ac:dyDescent="0.55000000000000004">
      <c r="B67" t="s">
        <v>73</v>
      </c>
    </row>
    <row r="68" spans="1:13" x14ac:dyDescent="0.55000000000000004">
      <c r="B68" t="s">
        <v>74</v>
      </c>
      <c r="D68" t="s">
        <v>75</v>
      </c>
      <c r="F68" s="27" t="s">
        <v>76</v>
      </c>
      <c r="G68" s="118" t="s">
        <v>79</v>
      </c>
      <c r="H68" s="22">
        <f>5*J66</f>
        <v>50.035502958579876</v>
      </c>
      <c r="I68" s="20" t="s">
        <v>24</v>
      </c>
    </row>
    <row r="70" spans="1:13" x14ac:dyDescent="0.55000000000000004">
      <c r="A70" s="35" t="s">
        <v>77</v>
      </c>
      <c r="B70" s="36"/>
      <c r="C70" s="36" t="s">
        <v>82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</row>
    <row r="71" spans="1:13" x14ac:dyDescent="0.55000000000000004">
      <c r="A71" s="36"/>
      <c r="B71" s="36"/>
      <c r="C71" s="36" t="s">
        <v>80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</row>
    <row r="72" spans="1:13" x14ac:dyDescent="0.55000000000000004">
      <c r="A72" s="36"/>
      <c r="B72" s="36"/>
      <c r="C72" s="36" t="s">
        <v>81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</row>
    <row r="73" spans="1:13" x14ac:dyDescent="0.55000000000000004">
      <c r="A73" s="36"/>
      <c r="B73" s="36"/>
      <c r="C73" s="36" t="s">
        <v>83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</row>
    <row r="74" spans="1:13" x14ac:dyDescent="0.55000000000000004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</row>
    <row r="75" spans="1:13" x14ac:dyDescent="0.55000000000000004">
      <c r="A75" s="36"/>
      <c r="B75" s="36" t="s">
        <v>84</v>
      </c>
      <c r="C75" s="36"/>
      <c r="D75" s="36"/>
      <c r="E75" s="36"/>
      <c r="F75" s="36"/>
      <c r="G75" s="36" t="s">
        <v>85</v>
      </c>
      <c r="H75" s="36"/>
      <c r="I75" s="36"/>
      <c r="J75" s="36"/>
      <c r="K75" s="36"/>
      <c r="L75" s="36"/>
      <c r="M75" s="36"/>
    </row>
    <row r="76" spans="1:13" x14ac:dyDescent="0.55000000000000004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</row>
    <row r="77" spans="1:13" x14ac:dyDescent="0.55000000000000004">
      <c r="A77" s="36"/>
      <c r="B77" s="36" t="s">
        <v>86</v>
      </c>
      <c r="C77" s="36"/>
      <c r="D77" s="36" t="s">
        <v>87</v>
      </c>
      <c r="E77" s="36"/>
      <c r="F77" s="37">
        <f>(1+I24)/J66</f>
        <v>0.47965941343424789</v>
      </c>
      <c r="G77" s="36"/>
      <c r="H77" s="37" t="s">
        <v>88</v>
      </c>
      <c r="I77" s="44">
        <f>ASIN(F77)</f>
        <v>0.50026651835423364</v>
      </c>
      <c r="J77" s="37" t="s">
        <v>92</v>
      </c>
      <c r="K77" s="45" t="s">
        <v>93</v>
      </c>
      <c r="L77" s="46">
        <f>DEGREES(ASIN(F77))</f>
        <v>28.663160133401522</v>
      </c>
      <c r="M77" s="37" t="s">
        <v>89</v>
      </c>
    </row>
    <row r="78" spans="1:13" x14ac:dyDescent="0.55000000000000004">
      <c r="A78" s="36"/>
      <c r="B78" s="36" t="s">
        <v>94</v>
      </c>
      <c r="C78" s="36"/>
      <c r="D78" s="36">
        <f>COS(I77)</f>
        <v>0.87745475501812242</v>
      </c>
      <c r="E78" s="36"/>
      <c r="F78" s="36"/>
      <c r="G78" s="36"/>
      <c r="H78" s="36"/>
      <c r="I78" s="36"/>
      <c r="J78" s="36"/>
      <c r="K78" s="36"/>
      <c r="L78" s="36"/>
      <c r="M78" s="36"/>
    </row>
    <row r="79" spans="1:13" x14ac:dyDescent="0.55000000000000004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</row>
    <row r="80" spans="1:13" x14ac:dyDescent="0.55000000000000004">
      <c r="A80" s="36"/>
      <c r="B80" s="47" t="s">
        <v>90</v>
      </c>
      <c r="C80" s="48" t="s">
        <v>91</v>
      </c>
      <c r="D80" s="48"/>
      <c r="E80" s="48"/>
      <c r="F80" s="49">
        <f>E49+(E36*D78)</f>
        <v>50.411924539000402</v>
      </c>
      <c r="G80" s="50" t="s">
        <v>17</v>
      </c>
      <c r="H80" s="51" t="s">
        <v>93</v>
      </c>
      <c r="I80" s="50">
        <f>F80*9.806</f>
        <v>494.33933202943791</v>
      </c>
      <c r="J80" s="52" t="s">
        <v>99</v>
      </c>
      <c r="K80" s="36"/>
      <c r="L80" s="36"/>
      <c r="M80" s="36"/>
    </row>
    <row r="81" spans="1:13" x14ac:dyDescent="0.55000000000000004">
      <c r="A81" s="36"/>
      <c r="B81" s="36"/>
      <c r="C81" s="36"/>
      <c r="D81" s="36"/>
      <c r="E81" s="36"/>
      <c r="F81" s="36"/>
      <c r="G81" s="36"/>
      <c r="H81" s="36" t="s">
        <v>95</v>
      </c>
      <c r="I81" s="36" t="s">
        <v>96</v>
      </c>
      <c r="J81" s="36"/>
      <c r="K81" s="36"/>
      <c r="L81" s="46">
        <f>E36*F77</f>
        <v>19.352412488174078</v>
      </c>
      <c r="M81" s="37" t="s">
        <v>17</v>
      </c>
    </row>
    <row r="82" spans="1:13" x14ac:dyDescent="0.55000000000000004">
      <c r="A82" s="36"/>
      <c r="B82" s="47" t="s">
        <v>97</v>
      </c>
      <c r="C82" s="48" t="s">
        <v>98</v>
      </c>
      <c r="D82" s="48"/>
      <c r="E82" s="49">
        <f>L81*(J66-(0.8*I24))</f>
        <v>134.83020449748923</v>
      </c>
      <c r="F82" s="50" t="s">
        <v>26</v>
      </c>
      <c r="G82" s="53" t="s">
        <v>93</v>
      </c>
      <c r="H82" s="50">
        <f>E82*9.806</f>
        <v>1322.1449853023794</v>
      </c>
      <c r="I82" s="52" t="s">
        <v>100</v>
      </c>
      <c r="J82" s="36"/>
      <c r="K82" s="36"/>
      <c r="L82" s="36"/>
      <c r="M82" s="36"/>
    </row>
    <row r="84" spans="1:13" x14ac:dyDescent="0.55000000000000004">
      <c r="A84" s="35" t="s">
        <v>101</v>
      </c>
      <c r="B84" s="36"/>
      <c r="C84" s="36"/>
      <c r="D84" s="36"/>
      <c r="E84" s="36" t="s">
        <v>102</v>
      </c>
      <c r="F84" s="36"/>
      <c r="G84" s="36"/>
      <c r="H84" s="36"/>
      <c r="I84" s="36"/>
      <c r="J84" s="36"/>
      <c r="K84" s="36"/>
      <c r="L84" s="36"/>
    </row>
    <row r="85" spans="1:13" x14ac:dyDescent="0.55000000000000004">
      <c r="A85" s="36"/>
      <c r="B85" s="36"/>
      <c r="C85" s="36"/>
      <c r="D85" s="36"/>
      <c r="E85" s="36" t="s">
        <v>103</v>
      </c>
      <c r="F85" s="36"/>
      <c r="G85" s="36"/>
      <c r="H85" s="36"/>
      <c r="I85" s="36"/>
      <c r="J85" s="36"/>
      <c r="K85" s="36"/>
      <c r="L85" s="36"/>
    </row>
    <row r="86" spans="1:13" x14ac:dyDescent="0.55000000000000004">
      <c r="A86" s="36"/>
      <c r="B86" s="36" t="s">
        <v>106</v>
      </c>
      <c r="C86" s="36"/>
      <c r="D86" s="37" t="s">
        <v>107</v>
      </c>
      <c r="E86" s="37">
        <v>400</v>
      </c>
      <c r="F86" s="37" t="s">
        <v>108</v>
      </c>
      <c r="G86" s="37" t="s">
        <v>25</v>
      </c>
      <c r="H86" s="37">
        <v>200</v>
      </c>
      <c r="I86" s="37" t="s">
        <v>108</v>
      </c>
      <c r="J86" s="37" t="s">
        <v>109</v>
      </c>
      <c r="K86" s="37">
        <v>20</v>
      </c>
      <c r="L86" s="37" t="s">
        <v>108</v>
      </c>
    </row>
    <row r="87" spans="1:13" x14ac:dyDescent="0.55000000000000004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</row>
    <row r="88" spans="1:13" x14ac:dyDescent="0.55000000000000004">
      <c r="A88" s="36"/>
      <c r="B88" s="36" t="s">
        <v>110</v>
      </c>
      <c r="C88" s="36" t="s">
        <v>111</v>
      </c>
      <c r="D88" s="36"/>
      <c r="E88" s="37">
        <f>E86-(2*K86)</f>
        <v>360</v>
      </c>
      <c r="F88" s="37" t="s">
        <v>108</v>
      </c>
      <c r="G88" s="36"/>
      <c r="H88" s="36" t="s">
        <v>104</v>
      </c>
      <c r="I88" s="36" t="s">
        <v>105</v>
      </c>
      <c r="J88" s="36"/>
      <c r="K88" s="37">
        <f>H86-(2*K86)</f>
        <v>160</v>
      </c>
      <c r="L88" s="37" t="s">
        <v>108</v>
      </c>
    </row>
    <row r="89" spans="1:13" x14ac:dyDescent="0.55000000000000004">
      <c r="A89" s="36"/>
      <c r="B89" s="36" t="s">
        <v>112</v>
      </c>
      <c r="C89" s="36"/>
      <c r="D89" s="36" t="s">
        <v>113</v>
      </c>
      <c r="E89" s="36"/>
      <c r="F89" s="37">
        <f>H86*E86-K88*E88</f>
        <v>22400</v>
      </c>
      <c r="G89" s="37" t="s">
        <v>114</v>
      </c>
      <c r="H89" s="36"/>
      <c r="I89" s="36"/>
      <c r="J89" s="36"/>
      <c r="K89" s="36"/>
      <c r="L89" s="36"/>
    </row>
    <row r="90" spans="1:13" x14ac:dyDescent="0.55000000000000004">
      <c r="A90" s="36"/>
      <c r="B90" s="36" t="s">
        <v>115</v>
      </c>
      <c r="C90" s="36" t="s">
        <v>116</v>
      </c>
      <c r="D90" s="36"/>
      <c r="E90" s="36"/>
      <c r="F90" s="38">
        <f>(1/12)*((H86*E86^3)-(K88*E88^3))</f>
        <v>444586666.66666663</v>
      </c>
      <c r="G90" s="37" t="s">
        <v>117</v>
      </c>
      <c r="H90" s="36"/>
      <c r="I90" s="36"/>
      <c r="J90" s="36"/>
      <c r="K90" s="36"/>
      <c r="L90" s="36"/>
    </row>
    <row r="91" spans="1:13" x14ac:dyDescent="0.55000000000000004">
      <c r="A91" s="36"/>
      <c r="B91" s="36" t="s">
        <v>118</v>
      </c>
      <c r="C91" s="36"/>
      <c r="D91" s="36" t="s">
        <v>119</v>
      </c>
      <c r="E91" s="37">
        <f>$I$80*1000/F89</f>
        <v>22.068720179885624</v>
      </c>
      <c r="F91" s="37" t="s">
        <v>120</v>
      </c>
      <c r="G91" s="36"/>
      <c r="H91" s="36"/>
      <c r="I91" s="36"/>
      <c r="J91" s="36"/>
      <c r="K91" s="36"/>
      <c r="L91" s="36"/>
    </row>
    <row r="92" spans="1:13" x14ac:dyDescent="0.55000000000000004">
      <c r="A92" s="36"/>
      <c r="B92" s="36" t="s">
        <v>121</v>
      </c>
      <c r="C92" s="36"/>
      <c r="D92" s="36" t="s">
        <v>122</v>
      </c>
      <c r="E92" s="36"/>
      <c r="F92" s="38">
        <f>($H$82*1000000*E86/2)/F90</f>
        <v>594.7749154131385</v>
      </c>
      <c r="G92" s="37" t="s">
        <v>120</v>
      </c>
      <c r="H92" s="36"/>
      <c r="I92" s="36"/>
      <c r="J92" s="36"/>
      <c r="K92" s="36"/>
      <c r="L92" s="36"/>
    </row>
    <row r="93" spans="1:13" x14ac:dyDescent="0.55000000000000004">
      <c r="A93" s="36"/>
      <c r="B93" s="36"/>
      <c r="C93" s="36" t="s">
        <v>123</v>
      </c>
      <c r="D93" s="36" t="s">
        <v>124</v>
      </c>
      <c r="E93" s="36"/>
      <c r="F93" s="36"/>
      <c r="G93" s="39">
        <f>E91+F92</f>
        <v>616.84363559302415</v>
      </c>
      <c r="H93" s="36" t="s">
        <v>120</v>
      </c>
      <c r="I93" s="36" t="s">
        <v>126</v>
      </c>
      <c r="J93" s="36" t="s">
        <v>127</v>
      </c>
      <c r="K93" s="36"/>
      <c r="L93" s="36"/>
    </row>
    <row r="94" spans="1:13" x14ac:dyDescent="0.55000000000000004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</row>
    <row r="95" spans="1:13" x14ac:dyDescent="0.55000000000000004">
      <c r="A95" s="36"/>
      <c r="B95" s="36" t="s">
        <v>125</v>
      </c>
      <c r="C95" s="36"/>
      <c r="D95" s="40" t="s">
        <v>107</v>
      </c>
      <c r="E95" s="40">
        <v>800</v>
      </c>
      <c r="F95" s="40" t="s">
        <v>108</v>
      </c>
      <c r="G95" s="40" t="s">
        <v>25</v>
      </c>
      <c r="H95" s="40">
        <v>420</v>
      </c>
      <c r="I95" s="40" t="s">
        <v>108</v>
      </c>
      <c r="J95" s="40" t="s">
        <v>109</v>
      </c>
      <c r="K95" s="40">
        <v>50</v>
      </c>
      <c r="L95" s="40" t="s">
        <v>108</v>
      </c>
    </row>
    <row r="96" spans="1:13" x14ac:dyDescent="0.55000000000000004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</row>
    <row r="97" spans="1:12" x14ac:dyDescent="0.55000000000000004">
      <c r="A97" s="36"/>
      <c r="B97" s="36" t="s">
        <v>110</v>
      </c>
      <c r="C97" s="36" t="s">
        <v>111</v>
      </c>
      <c r="D97" s="36"/>
      <c r="E97" s="37">
        <f>E95-(2*K95)</f>
        <v>700</v>
      </c>
      <c r="F97" s="37" t="s">
        <v>108</v>
      </c>
      <c r="G97" s="36"/>
      <c r="H97" s="36" t="s">
        <v>104</v>
      </c>
      <c r="I97" s="36" t="s">
        <v>105</v>
      </c>
      <c r="J97" s="36"/>
      <c r="K97" s="37">
        <f>H95-(2*K95)</f>
        <v>320</v>
      </c>
      <c r="L97" s="37" t="s">
        <v>108</v>
      </c>
    </row>
    <row r="98" spans="1:12" x14ac:dyDescent="0.55000000000000004">
      <c r="A98" s="36"/>
      <c r="B98" s="36" t="s">
        <v>112</v>
      </c>
      <c r="C98" s="36"/>
      <c r="D98" s="36" t="s">
        <v>113</v>
      </c>
      <c r="E98" s="36"/>
      <c r="F98" s="37">
        <f>H95*E95-K97*E97</f>
        <v>112000</v>
      </c>
      <c r="G98" s="37" t="s">
        <v>114</v>
      </c>
      <c r="H98" s="36"/>
      <c r="I98" s="36"/>
      <c r="J98" s="36"/>
      <c r="K98" s="36"/>
      <c r="L98" s="36"/>
    </row>
    <row r="99" spans="1:12" x14ac:dyDescent="0.55000000000000004">
      <c r="A99" s="36"/>
      <c r="B99" s="36" t="s">
        <v>115</v>
      </c>
      <c r="C99" s="36" t="s">
        <v>116</v>
      </c>
      <c r="D99" s="36"/>
      <c r="E99" s="36"/>
      <c r="F99" s="38">
        <f>(1/12)*((H95*E95^3)-(K97*E97^3))</f>
        <v>8773333333.3333321</v>
      </c>
      <c r="G99" s="37" t="s">
        <v>117</v>
      </c>
      <c r="H99" s="36"/>
      <c r="I99" s="36"/>
      <c r="J99" s="36"/>
      <c r="K99" s="36"/>
      <c r="L99" s="36"/>
    </row>
    <row r="100" spans="1:12" x14ac:dyDescent="0.55000000000000004">
      <c r="A100" s="36"/>
      <c r="B100" s="36" t="s">
        <v>118</v>
      </c>
      <c r="C100" s="36"/>
      <c r="D100" s="36" t="s">
        <v>119</v>
      </c>
      <c r="E100" s="37">
        <f>$I$80*1000/F98</f>
        <v>4.4137440359771247</v>
      </c>
      <c r="F100" s="37" t="s">
        <v>120</v>
      </c>
      <c r="G100" s="36"/>
      <c r="H100" s="36"/>
      <c r="I100" s="36"/>
      <c r="J100" s="36"/>
      <c r="K100" s="36"/>
      <c r="L100" s="36"/>
    </row>
    <row r="101" spans="1:12" x14ac:dyDescent="0.55000000000000004">
      <c r="A101" s="36"/>
      <c r="B101" s="36" t="s">
        <v>121</v>
      </c>
      <c r="C101" s="36"/>
      <c r="D101" s="36" t="s">
        <v>122</v>
      </c>
      <c r="E101" s="36"/>
      <c r="F101" s="38">
        <f>($H$82*1000000*E95/2)/F99</f>
        <v>60.280166503148003</v>
      </c>
      <c r="G101" s="37" t="s">
        <v>120</v>
      </c>
      <c r="H101" s="36"/>
      <c r="I101" s="36"/>
      <c r="J101" s="36"/>
      <c r="K101" s="36"/>
      <c r="L101" s="36"/>
    </row>
    <row r="102" spans="1:12" x14ac:dyDescent="0.55000000000000004">
      <c r="A102" s="36"/>
      <c r="B102" s="36"/>
      <c r="C102" s="36" t="s">
        <v>123</v>
      </c>
      <c r="D102" s="36" t="s">
        <v>124</v>
      </c>
      <c r="E102" s="36"/>
      <c r="F102" s="36"/>
      <c r="G102" s="41">
        <f>E100+F101</f>
        <v>64.693910539125127</v>
      </c>
      <c r="H102" s="42" t="s">
        <v>120</v>
      </c>
      <c r="I102" s="42" t="s">
        <v>128</v>
      </c>
      <c r="J102" s="42" t="s">
        <v>129</v>
      </c>
      <c r="K102" s="43"/>
      <c r="L102" s="36"/>
    </row>
    <row r="105" spans="1:12" x14ac:dyDescent="0.55000000000000004">
      <c r="B105" s="89"/>
    </row>
    <row r="106" spans="1:12" x14ac:dyDescent="0.55000000000000004">
      <c r="B106" s="89"/>
    </row>
    <row r="107" spans="1:12" x14ac:dyDescent="0.55000000000000004">
      <c r="B107" s="8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6" sqref="C6"/>
    </sheetView>
  </sheetViews>
  <sheetFormatPr baseColWidth="10" defaultRowHeight="14.4" x14ac:dyDescent="0.55000000000000004"/>
  <cols>
    <col min="2" max="2" width="17.3125" style="89" customWidth="1"/>
    <col min="3" max="3" width="23.20703125" customWidth="1"/>
  </cols>
  <sheetData>
    <row r="1" spans="1:3" ht="28.8" x14ac:dyDescent="0.55000000000000004">
      <c r="A1" s="87" t="s">
        <v>194</v>
      </c>
      <c r="B1" s="88" t="s">
        <v>195</v>
      </c>
      <c r="C1" s="87" t="s">
        <v>196</v>
      </c>
    </row>
    <row r="3" spans="1:3" x14ac:dyDescent="0.55000000000000004">
      <c r="A3" s="5">
        <v>1</v>
      </c>
      <c r="B3" s="90" t="s">
        <v>197</v>
      </c>
      <c r="C3" s="30" t="s">
        <v>198</v>
      </c>
    </row>
    <row r="4" spans="1:3" x14ac:dyDescent="0.55000000000000004">
      <c r="A4" s="5">
        <v>2</v>
      </c>
      <c r="B4" s="90" t="s">
        <v>199</v>
      </c>
      <c r="C4" s="30" t="s">
        <v>200</v>
      </c>
    </row>
    <row r="5" spans="1:3" x14ac:dyDescent="0.55000000000000004">
      <c r="A5" s="5">
        <v>3</v>
      </c>
      <c r="B5" s="90" t="s">
        <v>201</v>
      </c>
      <c r="C5" s="30" t="s">
        <v>202</v>
      </c>
    </row>
    <row r="6" spans="1:3" x14ac:dyDescent="0.55000000000000004">
      <c r="A6" s="5">
        <v>4</v>
      </c>
      <c r="B6" s="90" t="s">
        <v>131</v>
      </c>
      <c r="C6" s="30" t="s">
        <v>203</v>
      </c>
    </row>
    <row r="7" spans="1:3" x14ac:dyDescent="0.55000000000000004">
      <c r="A7" s="5">
        <v>5</v>
      </c>
      <c r="B7" s="90" t="s">
        <v>204</v>
      </c>
      <c r="C7" s="30" t="s">
        <v>205</v>
      </c>
    </row>
    <row r="8" spans="1:3" x14ac:dyDescent="0.55000000000000004">
      <c r="A8" s="5">
        <v>6</v>
      </c>
      <c r="B8" s="90" t="s">
        <v>206</v>
      </c>
      <c r="C8" s="30" t="s">
        <v>207</v>
      </c>
    </row>
    <row r="9" spans="1:3" x14ac:dyDescent="0.55000000000000004">
      <c r="A9" s="5">
        <v>7</v>
      </c>
      <c r="B9" s="90" t="s">
        <v>208</v>
      </c>
      <c r="C9" s="30" t="s">
        <v>209</v>
      </c>
    </row>
    <row r="10" spans="1:3" x14ac:dyDescent="0.55000000000000004">
      <c r="A10" s="5">
        <v>8</v>
      </c>
      <c r="B10" s="90" t="s">
        <v>210</v>
      </c>
      <c r="C10" s="30" t="s">
        <v>211</v>
      </c>
    </row>
    <row r="11" spans="1:3" x14ac:dyDescent="0.55000000000000004">
      <c r="A11" s="5">
        <v>9</v>
      </c>
      <c r="B11" s="90" t="s">
        <v>212</v>
      </c>
      <c r="C11" s="30" t="s">
        <v>213</v>
      </c>
    </row>
    <row r="12" spans="1:3" x14ac:dyDescent="0.55000000000000004">
      <c r="A12" s="5">
        <v>10</v>
      </c>
      <c r="B12" s="90" t="s">
        <v>214</v>
      </c>
      <c r="C12" s="30" t="s">
        <v>215</v>
      </c>
    </row>
    <row r="13" spans="1:3" x14ac:dyDescent="0.55000000000000004">
      <c r="A13" s="5">
        <v>11</v>
      </c>
      <c r="B13" s="90" t="s">
        <v>216</v>
      </c>
      <c r="C13" s="30" t="s">
        <v>217</v>
      </c>
    </row>
    <row r="14" spans="1:3" x14ac:dyDescent="0.55000000000000004">
      <c r="A14" s="5">
        <v>12</v>
      </c>
      <c r="B14" s="90" t="s">
        <v>218</v>
      </c>
      <c r="C14" s="30" t="s">
        <v>219</v>
      </c>
    </row>
    <row r="15" spans="1:3" x14ac:dyDescent="0.55000000000000004">
      <c r="A15" s="5">
        <v>13</v>
      </c>
      <c r="B15" s="90" t="s">
        <v>220</v>
      </c>
      <c r="C15" s="30" t="s">
        <v>221</v>
      </c>
    </row>
    <row r="16" spans="1:3" x14ac:dyDescent="0.55000000000000004">
      <c r="A16" s="5">
        <v>14</v>
      </c>
      <c r="B16" s="90" t="s">
        <v>222</v>
      </c>
      <c r="C16" s="30" t="s">
        <v>223</v>
      </c>
    </row>
    <row r="17" spans="1:3" x14ac:dyDescent="0.55000000000000004">
      <c r="A17" s="5">
        <v>15</v>
      </c>
      <c r="B17" s="90" t="s">
        <v>224</v>
      </c>
      <c r="C17" s="30" t="s">
        <v>225</v>
      </c>
    </row>
    <row r="18" spans="1:3" x14ac:dyDescent="0.55000000000000004">
      <c r="A18" s="5">
        <v>16</v>
      </c>
      <c r="B18" s="90" t="s">
        <v>226</v>
      </c>
      <c r="C18" s="30" t="s">
        <v>227</v>
      </c>
    </row>
    <row r="19" spans="1:3" x14ac:dyDescent="0.55000000000000004">
      <c r="A19" s="5">
        <v>17</v>
      </c>
      <c r="B19" s="90" t="s">
        <v>228</v>
      </c>
      <c r="C19" s="30" t="s">
        <v>229</v>
      </c>
    </row>
    <row r="20" spans="1:3" x14ac:dyDescent="0.55000000000000004">
      <c r="A20" s="5">
        <v>18</v>
      </c>
      <c r="B20" s="90" t="s">
        <v>230</v>
      </c>
      <c r="C20" s="30" t="s">
        <v>231</v>
      </c>
    </row>
    <row r="21" spans="1:3" x14ac:dyDescent="0.55000000000000004">
      <c r="A21" s="5">
        <v>19</v>
      </c>
      <c r="B21" s="90" t="s">
        <v>232</v>
      </c>
      <c r="C21" s="30" t="s">
        <v>233</v>
      </c>
    </row>
    <row r="22" spans="1:3" x14ac:dyDescent="0.55000000000000004">
      <c r="A22" s="5">
        <v>20</v>
      </c>
      <c r="B22" s="90" t="s">
        <v>234</v>
      </c>
      <c r="C22" s="30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Formulas</vt:lpstr>
      <vt:lpstr>Ejemplo</vt:lpstr>
      <vt:lpstr>Original</vt:lpstr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2023-08-21T22:26:23Z</dcterms:modified>
</cp:coreProperties>
</file>