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o\Desktop\Gruas_Problemas\Tareas\"/>
    </mc:Choice>
  </mc:AlternateContent>
  <bookViews>
    <workbookView xWindow="0" yWindow="0" windowWidth="23040" windowHeight="9288"/>
  </bookViews>
  <sheets>
    <sheet name="Formulas" sheetId="7" r:id="rId1"/>
    <sheet name="Ejemplo" sheetId="8" r:id="rId2"/>
    <sheet name="Original" sheetId="1" r:id="rId3"/>
    <sheet name="Listado" sheetId="2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4" i="8" l="1"/>
  <c r="J73" i="8"/>
  <c r="H72" i="8"/>
  <c r="I70" i="8"/>
  <c r="I69" i="8"/>
  <c r="K63" i="8"/>
  <c r="H17" i="8"/>
  <c r="K62" i="8"/>
  <c r="G60" i="8"/>
  <c r="F52" i="1"/>
  <c r="E52" i="1"/>
  <c r="G53" i="8"/>
  <c r="F53" i="8"/>
  <c r="H51" i="8"/>
  <c r="J50" i="8"/>
  <c r="F45" i="1"/>
  <c r="G46" i="8"/>
  <c r="H44" i="8" l="1"/>
  <c r="H43" i="8"/>
  <c r="G39" i="8"/>
  <c r="G37" i="8" l="1"/>
  <c r="G36" i="8"/>
  <c r="G35" i="8"/>
  <c r="G34" i="8"/>
  <c r="G32" i="8"/>
  <c r="G31" i="8"/>
  <c r="G30" i="8"/>
  <c r="K21" i="8"/>
  <c r="K20" i="8"/>
  <c r="F22" i="8"/>
  <c r="F21" i="8"/>
  <c r="F20" i="8"/>
  <c r="F19" i="8"/>
  <c r="F18" i="8"/>
  <c r="F16" i="8"/>
  <c r="F12" i="8"/>
  <c r="F10" i="8"/>
  <c r="F8" i="8"/>
  <c r="C4" i="8" l="1"/>
  <c r="M12" i="8"/>
  <c r="M11" i="8"/>
  <c r="M10" i="8"/>
  <c r="M9" i="8"/>
  <c r="M8" i="8"/>
  <c r="M7" i="8"/>
  <c r="M6" i="8"/>
  <c r="M5" i="8"/>
  <c r="F57" i="8"/>
  <c r="J60" i="8" s="1"/>
  <c r="G55" i="8"/>
  <c r="F46" i="8"/>
  <c r="D43" i="8"/>
  <c r="H42" i="8"/>
  <c r="D42" i="8"/>
  <c r="K39" i="8"/>
  <c r="B3" i="1" l="1"/>
  <c r="E45" i="1" l="1"/>
  <c r="D42" i="7" l="1"/>
  <c r="L12" i="1" l="1"/>
  <c r="E8" i="1" s="1"/>
  <c r="L11" i="1"/>
  <c r="L10" i="1"/>
  <c r="L9" i="1"/>
  <c r="L8" i="1"/>
  <c r="E16" i="1" s="1"/>
  <c r="L7" i="1"/>
  <c r="L6" i="1"/>
  <c r="L5" i="1"/>
  <c r="E10" i="1" s="1"/>
  <c r="E56" i="1" l="1"/>
  <c r="F59" i="1" s="1"/>
  <c r="I59" i="1" s="1"/>
  <c r="G41" i="1"/>
  <c r="F54" i="1"/>
  <c r="E22" i="1" l="1"/>
  <c r="E21" i="1"/>
  <c r="E19" i="1"/>
  <c r="E18" i="1"/>
  <c r="G17" i="1"/>
  <c r="C41" i="1"/>
  <c r="E12" i="1"/>
  <c r="F31" i="1" s="1"/>
  <c r="F35" i="1" s="1"/>
  <c r="F32" i="1"/>
  <c r="F34" i="1" s="1"/>
  <c r="G42" i="1"/>
  <c r="G43" i="1" l="1"/>
  <c r="E20" i="1"/>
  <c r="J20" i="1" s="1"/>
  <c r="J21" i="1" s="1"/>
  <c r="C42" i="1"/>
  <c r="I49" i="1" s="1"/>
  <c r="G50" i="1" s="1"/>
  <c r="F38" i="1"/>
  <c r="F36" i="1"/>
  <c r="J38" i="1" l="1"/>
  <c r="J61" i="1"/>
  <c r="J62" i="1" s="1"/>
  <c r="H65" i="1" s="1"/>
  <c r="H66" i="1" l="1"/>
  <c r="I69" i="1"/>
  <c r="I70" i="1" s="1"/>
  <c r="G68" i="1"/>
</calcChain>
</file>

<file path=xl/sharedStrings.xml><?xml version="1.0" encoding="utf-8"?>
<sst xmlns="http://schemas.openxmlformats.org/spreadsheetml/2006/main" count="687" uniqueCount="254">
  <si>
    <t>Alumno:</t>
  </si>
  <si>
    <t>Fecha:</t>
  </si>
  <si>
    <t>Nota:</t>
  </si>
  <si>
    <t>ING. TRANSPORTE</t>
  </si>
  <si>
    <t>m</t>
  </si>
  <si>
    <t>A =</t>
  </si>
  <si>
    <t>B =</t>
  </si>
  <si>
    <t>C =</t>
  </si>
  <si>
    <t>D =</t>
  </si>
  <si>
    <t>E =</t>
  </si>
  <si>
    <t>F =</t>
  </si>
  <si>
    <t>G =</t>
  </si>
  <si>
    <t>H =</t>
  </si>
  <si>
    <t>Cargas / día:</t>
  </si>
  <si>
    <t>Horas por jornada:</t>
  </si>
  <si>
    <t>h</t>
  </si>
  <si>
    <t>Alcance máximo:</t>
  </si>
  <si>
    <t>Alcance mínimo:</t>
  </si>
  <si>
    <t>Lmin =</t>
  </si>
  <si>
    <t>Elevación máxima:</t>
  </si>
  <si>
    <t>h = 16 + B</t>
  </si>
  <si>
    <t>Tiempo de enganche:</t>
  </si>
  <si>
    <t>s</t>
  </si>
  <si>
    <t>Tiempo desenganche:</t>
  </si>
  <si>
    <t>Zonas de carga y descarga diametralmente opuestas.</t>
  </si>
  <si>
    <t>Vida útil de la grúa:</t>
  </si>
  <si>
    <t>años</t>
  </si>
  <si>
    <t>Tracción admisible tirante delantero:</t>
  </si>
  <si>
    <t>Tadm = 1G00 =</t>
  </si>
  <si>
    <t>kN</t>
  </si>
  <si>
    <t>Portaflecha:</t>
  </si>
  <si>
    <t>PF = 4,D =</t>
  </si>
  <si>
    <t>CF = 6,G =</t>
  </si>
  <si>
    <t>Distancia torre-B:</t>
  </si>
  <si>
    <t>LB = 0,75 L =</t>
  </si>
  <si>
    <t>Distancia torre-G:</t>
  </si>
  <si>
    <t>LG = 0,F =</t>
  </si>
  <si>
    <t>Peso grúa:</t>
  </si>
  <si>
    <t>Qg = 120 + [10 x (A+G)] =</t>
  </si>
  <si>
    <t>t</t>
  </si>
  <si>
    <t>La máquina hace pocos ciclos por hora. Supondré velocidades lentas y haré la comprobación.</t>
  </si>
  <si>
    <t>Velocidad elevación:</t>
  </si>
  <si>
    <t>VL =</t>
  </si>
  <si>
    <t>m/s</t>
  </si>
  <si>
    <t>(Ver página 231 - Julio)</t>
  </si>
  <si>
    <t>Velocidad traslación:</t>
  </si>
  <si>
    <t>VT =</t>
  </si>
  <si>
    <t>Secuencia y tiempos. Posición inicial, gancho abajo en zona de carga.</t>
  </si>
  <si>
    <t>Enganche:</t>
  </si>
  <si>
    <t>Tiempo de subida, h:</t>
  </si>
  <si>
    <t>ts = h/VL =</t>
  </si>
  <si>
    <t>Traslación, L - Lmin:</t>
  </si>
  <si>
    <t>tt = (L-Lmin)/VT =</t>
  </si>
  <si>
    <t>Desenganche:</t>
  </si>
  <si>
    <t>Traslación de vuelta:</t>
  </si>
  <si>
    <t>Bajada:</t>
  </si>
  <si>
    <t>El tiempo de rotación se incluye en el de traslación.</t>
  </si>
  <si>
    <t>No cuento tiempo de bajada por hacer movimientos</t>
  </si>
  <si>
    <t>sucesivos los de subida y traslación.</t>
  </si>
  <si>
    <t>Total ciclo:</t>
  </si>
  <si>
    <t>Tiempo disponible:</t>
  </si>
  <si>
    <t>tc =</t>
  </si>
  <si>
    <t>td = J x 3600 / N =</t>
  </si>
  <si>
    <t>¿ td &gt; tc ?</t>
  </si>
  <si>
    <t>Velocidad rotación:</t>
  </si>
  <si>
    <t>nR =</t>
  </si>
  <si>
    <t>rpm</t>
  </si>
  <si>
    <t>Clasificación UNE aparato</t>
  </si>
  <si>
    <t>Años:</t>
  </si>
  <si>
    <t>Días útiles / año:</t>
  </si>
  <si>
    <t>días/año</t>
  </si>
  <si>
    <t>(45 sem x 5 dia/sem)</t>
  </si>
  <si>
    <t>Horas/dia:</t>
  </si>
  <si>
    <t>Movimientos/día:</t>
  </si>
  <si>
    <t>ciclos/día</t>
  </si>
  <si>
    <t>Total ciclos:</t>
  </si>
  <si>
    <t>años x días/año x ciclos/día =</t>
  </si>
  <si>
    <t>ciclos</t>
  </si>
  <si>
    <t>Clase ut.</t>
  </si>
  <si>
    <t>U5</t>
  </si>
  <si>
    <t>Estado de carga aparato:</t>
  </si>
  <si>
    <t>Q</t>
  </si>
  <si>
    <t>Grupo del aparato:</t>
  </si>
  <si>
    <t>--&gt;</t>
  </si>
  <si>
    <t>Clasificación UNE mecanismo de elevación</t>
  </si>
  <si>
    <t>Mecanismo elevación:</t>
  </si>
  <si>
    <t>Estimamos en un 50% el tiempo de funcionamiento</t>
  </si>
  <si>
    <t xml:space="preserve">f = </t>
  </si>
  <si>
    <t>Horas de vida del aparato:</t>
  </si>
  <si>
    <t>años x días/año x h/día =</t>
  </si>
  <si>
    <t>Horas de funcionamiento mecanismo:</t>
  </si>
  <si>
    <t>Clase utilización</t>
  </si>
  <si>
    <t>Estado de carga mec. elev:</t>
  </si>
  <si>
    <t>L</t>
  </si>
  <si>
    <t>Grupo del mecanismo:</t>
  </si>
  <si>
    <t>Coeficiente de mayoración de cargas</t>
  </si>
  <si>
    <t>gamma_c</t>
  </si>
  <si>
    <t>=</t>
  </si>
  <si>
    <t>Factor epsilon:</t>
  </si>
  <si>
    <t>VL</t>
  </si>
  <si>
    <t>epsilon</t>
  </si>
  <si>
    <t>Coeficiente dinámico:</t>
  </si>
  <si>
    <t>psi =</t>
  </si>
  <si>
    <t>1 + (epsilon x VL) =</t>
  </si>
  <si>
    <t>días/sem =</t>
  </si>
  <si>
    <t>sem/año =</t>
  </si>
  <si>
    <t>(hipótesis)</t>
  </si>
  <si>
    <t>T8</t>
  </si>
  <si>
    <t>M8</t>
  </si>
  <si>
    <t>Grúa pluma</t>
  </si>
  <si>
    <t xml:space="preserve"> </t>
  </si>
  <si>
    <t>T1 sen beta = psi x PB</t>
  </si>
  <si>
    <t>PB = Tadm x sen(beta) / (gamma_c x psi) =</t>
  </si>
  <si>
    <t>grados</t>
  </si>
  <si>
    <t>Beta = atan(PF/LB) =</t>
  </si>
  <si>
    <t>rad</t>
  </si>
  <si>
    <t>Máxima carga en B:</t>
  </si>
  <si>
    <t>Cálculo contrapeso:</t>
  </si>
  <si>
    <t>(Mirar problema 6.4 - Julio)</t>
  </si>
  <si>
    <t>Debe compensar el momento de la grúa y la mitad del momento máximo de la carga.</t>
  </si>
  <si>
    <t>Gc =</t>
  </si>
  <si>
    <t>Gc x L2 = (Qg x e) + (PB x L1)/2</t>
  </si>
  <si>
    <t>Fuerza de compresión:</t>
  </si>
  <si>
    <t xml:space="preserve">Sc = </t>
  </si>
  <si>
    <t>gamma_c x [Gc + Qg + (psi x PB)] =</t>
  </si>
  <si>
    <t>Flector sobre torre:</t>
  </si>
  <si>
    <t>M =</t>
  </si>
  <si>
    <t>gamma_c x [- (Gc x L2) + (Qg x e) + psi x (PB x L1)] =</t>
  </si>
  <si>
    <t>t · m</t>
  </si>
  <si>
    <t>kN · m</t>
  </si>
  <si>
    <t>La torre presentará un punto crítico a tracción, por la flexión M (sin contar compresión de carga).</t>
  </si>
  <si>
    <t>Y otro punto crítico a compresión, por flexión más compresión.</t>
  </si>
  <si>
    <t>Cálculo grúa torre</t>
  </si>
  <si>
    <t>DNI</t>
  </si>
  <si>
    <t>N = 60 + (8xH) =</t>
  </si>
  <si>
    <t>J =</t>
  </si>
  <si>
    <t>L = 10 + A =</t>
  </si>
  <si>
    <t>Vida = 16 + D =</t>
  </si>
  <si>
    <t>Problema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</si>
  <si>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</si>
  <si>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</si>
  <si>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</si>
  <si>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</si>
  <si>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</si>
  <si>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</si>
  <si>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</si>
  <si>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</si>
  <si>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</si>
  <si>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</si>
  <si>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</si>
  <si>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</si>
  <si>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TAREA 8</t>
  </si>
  <si>
    <t>CÁLCULO GRÚA TORRE</t>
  </si>
  <si>
    <t>=EXTRAE(M4;1;1)</t>
  </si>
  <si>
    <t>=EXTRAE(M4;2;1)</t>
  </si>
  <si>
    <t>=EXTRAE(M4;3;1)</t>
  </si>
  <si>
    <t>=EXTRAE(M4;4;1)</t>
  </si>
  <si>
    <t>=EXTRAE(M4;5;1)</t>
  </si>
  <si>
    <t>=EXTRAE(M4;6;1)</t>
  </si>
  <si>
    <t>=EXTRAE(M4;7;1)</t>
  </si>
  <si>
    <t>=EXTRAE(M4;8;1)</t>
  </si>
  <si>
    <t>=60+(8*($M$12))</t>
  </si>
  <si>
    <t>=10+$M$5</t>
  </si>
  <si>
    <t>= 16 + $M$6</t>
  </si>
  <si>
    <t>=1000+(100*$M$11)</t>
  </si>
  <si>
    <t>=16+$M$8</t>
  </si>
  <si>
    <t>=4+(0,1*$M$8)</t>
  </si>
  <si>
    <t>=6+(0,1*$M$11)</t>
  </si>
  <si>
    <t>=0,75*$F$10</t>
  </si>
  <si>
    <t>=0,1*$M$10</t>
  </si>
  <si>
    <t>=120+(10*(M5+M11))</t>
  </si>
  <si>
    <t>=ATAN($F$18/$F$20)</t>
  </si>
  <si>
    <t>=GRADOS($K$20)</t>
  </si>
  <si>
    <t>=$F$12/$E$25</t>
  </si>
  <si>
    <t>=($F$10-$F$11)/$E$26</t>
  </si>
  <si>
    <t>=$G$32</t>
  </si>
  <si>
    <t>=$G$31</t>
  </si>
  <si>
    <t>=$F$9*3600/$F$8</t>
  </si>
  <si>
    <t>=$F$8</t>
  </si>
  <si>
    <t>=$D$41*$H$41*$H$42</t>
  </si>
  <si>
    <t>=I69*9,806</t>
  </si>
  <si>
    <t>= K55*(I69+F22+(J60*K63))</t>
  </si>
  <si>
    <t>=J73*9,806</t>
  </si>
  <si>
    <t>Nº orden</t>
  </si>
  <si>
    <t>NI
Núm. Identificación</t>
  </si>
  <si>
    <t>Nombre</t>
  </si>
  <si>
    <t>76588960l</t>
  </si>
  <si>
    <t>Amando Sánchez, Rodrigo</t>
  </si>
  <si>
    <t>46346965q</t>
  </si>
  <si>
    <t>Aguilar Campo, Jaime</t>
  </si>
  <si>
    <t>76688699x</t>
  </si>
  <si>
    <t>Bardo Jiménez, Noelia</t>
  </si>
  <si>
    <t>75912600r</t>
  </si>
  <si>
    <t>Bringas Temido, Ramón</t>
  </si>
  <si>
    <t>67834322a</t>
  </si>
  <si>
    <t>Cáceres Martos, Adrián</t>
  </si>
  <si>
    <t>25432001b</t>
  </si>
  <si>
    <t>Charco Profundo, Ana</t>
  </si>
  <si>
    <t>50297996h</t>
  </si>
  <si>
    <t>Delgado Santos, Manuel</t>
  </si>
  <si>
    <t>71433902u</t>
  </si>
  <si>
    <t>Estébanez Sencillo, Ricardo</t>
  </si>
  <si>
    <t>15954881f</t>
  </si>
  <si>
    <t>Fuertes Cabeza, Dolores</t>
  </si>
  <si>
    <t>García Ramírez, Fernando</t>
  </si>
  <si>
    <t>64219067m</t>
  </si>
  <si>
    <t>González Villa, Luis</t>
  </si>
  <si>
    <t>74998930p</t>
  </si>
  <si>
    <t>Gutiérrez Alba, Manuela</t>
  </si>
  <si>
    <t>51000222n</t>
  </si>
  <si>
    <t>Hernán Porres, Francisco</t>
  </si>
  <si>
    <t>56348976v</t>
  </si>
  <si>
    <t>Huertas Luna, Antonio</t>
  </si>
  <si>
    <t>32909877f</t>
  </si>
  <si>
    <t>Indiano Blanco, Jesús</t>
  </si>
  <si>
    <t>32912007r</t>
  </si>
  <si>
    <t>Jaén Romero, Carlos</t>
  </si>
  <si>
    <t>77668012s</t>
  </si>
  <si>
    <t>López Algeciras, Sandra</t>
  </si>
  <si>
    <t>76689200j</t>
  </si>
  <si>
    <t>Muñoz García, Santiago</t>
  </si>
  <si>
    <t>74559860e</t>
  </si>
  <si>
    <t>Navarro Limón, María</t>
  </si>
  <si>
    <t>44555000w</t>
  </si>
  <si>
    <t>Perea Rosales, Carmen</t>
  </si>
  <si>
    <t>25031992k</t>
  </si>
  <si>
    <t>NI</t>
  </si>
  <si>
    <t>=BUSCARV(M4;Listado!B3:C22;2;FALSO)</t>
  </si>
  <si>
    <t>Tadm = 1000 x (10 + G) =</t>
  </si>
  <si>
    <t>(Ver página 231 - [1])</t>
  </si>
  <si>
    <t>=$F$13</t>
  </si>
  <si>
    <t>=$F$1410</t>
  </si>
  <si>
    <t>=SUMA(G30:G36)</t>
  </si>
  <si>
    <t>Tot ciclo:</t>
  </si>
  <si>
    <t>=SI(G39&gt;G37; "Acept"; "Tiempo insuf.")</t>
  </si>
  <si>
    <t>=$F$9</t>
  </si>
  <si>
    <t>=$J$9*$J$10</t>
  </si>
  <si>
    <t>=L44</t>
  </si>
  <si>
    <t>="Q"&amp;G45</t>
  </si>
  <si>
    <t>A6</t>
  </si>
  <si>
    <t>=D42*H42*D43</t>
  </si>
  <si>
    <t>=M49*J50</t>
  </si>
  <si>
    <t>=M51</t>
  </si>
  <si>
    <t>="L"&amp;G52</t>
  </si>
  <si>
    <t>=I46</t>
  </si>
  <si>
    <t>=$E$25</t>
  </si>
  <si>
    <t>=1+J58*F57</t>
  </si>
  <si>
    <t>=MAX(G60;1,15)</t>
  </si>
  <si>
    <t>T1 sen beta = psi PB</t>
  </si>
  <si>
    <t>=$H$17*SENO($K$20)/($K$55*$J$60)</t>
  </si>
  <si>
    <t>=K62/9,806</t>
  </si>
  <si>
    <t>Contraflecha, L2:</t>
  </si>
  <si>
    <t>(((F22*F21)+((K63*F20)/2)))/F19</t>
  </si>
  <si>
    <t>=K55*((-I69*F19)+ (F22*F21)+(J60 *(K63*F20)))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</si>
</sst>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0" fillId="0" borderId="0" xfId="0" quotePrefix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3" fontId="0" fillId="0" borderId="0" xfId="0" applyNumberFormat="1" applyAlignment="1">
      <alignment horizontal="left"/>
    </xf>
    <xf numFmtId="0" fontId="3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3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1" fontId="0" fillId="0" borderId="0" xfId="0" quotePrefix="1" applyNumberForma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6" fillId="0" borderId="0" xfId="0" applyFont="1" applyAlignment="1">
      <alignment horizontal="center" vertical="center"/>
    </xf>
    <xf numFmtId="0" fontId="7" fillId="2" borderId="13" xfId="0" quotePrefix="1" applyFont="1" applyFill="1" applyBorder="1" applyAlignment="1">
      <alignment horizontal="center"/>
    </xf>
    <xf numFmtId="3" fontId="7" fillId="2" borderId="13" xfId="0" quotePrefix="1" applyNumberFormat="1" applyFont="1" applyFill="1" applyBorder="1" applyAlignment="1">
      <alignment horizontal="center"/>
    </xf>
    <xf numFmtId="0" fontId="7" fillId="2" borderId="13" xfId="0" quotePrefix="1" applyFont="1" applyFill="1" applyBorder="1" applyAlignment="1">
      <alignment horizontal="left"/>
    </xf>
    <xf numFmtId="164" fontId="7" fillId="2" borderId="13" xfId="0" quotePrefix="1" applyNumberFormat="1" applyFont="1" applyFill="1" applyBorder="1" applyAlignment="1">
      <alignment horizontal="center"/>
    </xf>
    <xf numFmtId="165" fontId="7" fillId="2" borderId="13" xfId="0" quotePrefix="1" applyNumberFormat="1" applyFont="1" applyFill="1" applyBorder="1" applyAlignment="1">
      <alignment horizontal="left"/>
    </xf>
    <xf numFmtId="164" fontId="7" fillId="2" borderId="13" xfId="0" quotePrefix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0" fontId="7" fillId="2" borderId="13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7" fillId="2" borderId="13" xfId="0" applyNumberFormat="1" applyFont="1" applyFill="1" applyBorder="1" applyAlignment="1">
      <alignment horizontal="center"/>
    </xf>
    <xf numFmtId="164" fontId="7" fillId="0" borderId="0" xfId="0" quotePrefix="1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7" fillId="2" borderId="13" xfId="0" quotePrefix="1" applyNumberFormat="1" applyFont="1" applyFill="1" applyBorder="1" applyAlignment="1">
      <alignment horizontal="center" vertical="center" wrapText="1"/>
    </xf>
    <xf numFmtId="0" fontId="0" fillId="0" borderId="0" xfId="0" quotePrefix="1" applyAlignment="1">
      <alignment vertical="center"/>
    </xf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 wrapText="1"/>
    </xf>
    <xf numFmtId="0" fontId="0" fillId="0" borderId="0" xfId="0" applyFont="1"/>
    <xf numFmtId="0" fontId="4" fillId="0" borderId="0" xfId="0" applyFont="1" applyAlignment="1">
      <alignment horizontal="center"/>
    </xf>
    <xf numFmtId="164" fontId="8" fillId="2" borderId="13" xfId="0" quotePrefix="1" applyNumberFormat="1" applyFont="1" applyFill="1" applyBorder="1" applyAlignment="1">
      <alignment horizontal="center" vertical="center" wrapText="1"/>
    </xf>
    <xf numFmtId="1" fontId="0" fillId="3" borderId="0" xfId="0" quotePrefix="1" applyNumberFormat="1" applyFill="1" applyAlignment="1">
      <alignment horizontal="center" vertical="center"/>
    </xf>
    <xf numFmtId="0" fontId="2" fillId="2" borderId="0" xfId="0" quotePrefix="1" applyFont="1" applyFill="1"/>
    <xf numFmtId="0" fontId="9" fillId="3" borderId="0" xfId="0" applyFont="1" applyFill="1"/>
    <xf numFmtId="0" fontId="0" fillId="3" borderId="0" xfId="0" applyFill="1"/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7" fillId="2" borderId="0" xfId="0" quotePrefix="1" applyFont="1" applyFill="1" applyAlignment="1">
      <alignment horizontal="center"/>
    </xf>
    <xf numFmtId="164" fontId="7" fillId="2" borderId="13" xfId="0" quotePrefix="1" applyNumberFormat="1" applyFont="1" applyFill="1" applyBorder="1" applyAlignment="1">
      <alignment horizontal="center" wrapText="1"/>
    </xf>
    <xf numFmtId="0" fontId="0" fillId="2" borderId="0" xfId="0" quotePrefix="1" applyFill="1"/>
    <xf numFmtId="3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quotePrefix="1" applyFill="1" applyAlignment="1">
      <alignment horizontal="center"/>
    </xf>
    <xf numFmtId="165" fontId="7" fillId="2" borderId="13" xfId="0" quotePrefix="1" applyNumberFormat="1" applyFont="1" applyFill="1" applyBorder="1" applyAlignment="1">
      <alignment horizontal="center"/>
    </xf>
    <xf numFmtId="164" fontId="7" fillId="2" borderId="0" xfId="0" quotePrefix="1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0" fillId="2" borderId="0" xfId="0" applyFill="1"/>
    <xf numFmtId="0" fontId="7" fillId="2" borderId="0" xfId="0" applyFont="1" applyFill="1"/>
    <xf numFmtId="3" fontId="7" fillId="2" borderId="0" xfId="0" quotePrefix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0" fillId="3" borderId="0" xfId="0" applyNumberFormat="1" applyFill="1" applyAlignment="1">
      <alignment horizontal="left"/>
    </xf>
    <xf numFmtId="0" fontId="1" fillId="3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" fillId="0" borderId="9" xfId="0" quotePrefix="1" applyFont="1" applyBorder="1" applyAlignment="1">
      <alignment horizontal="left"/>
    </xf>
    <xf numFmtId="164" fontId="7" fillId="2" borderId="13" xfId="0" quotePrefix="1" applyNumberFormat="1" applyFont="1" applyFill="1" applyBorder="1" applyAlignment="1">
      <alignment horizontal="right"/>
    </xf>
    <xf numFmtId="0" fontId="1" fillId="3" borderId="0" xfId="0" applyFont="1" applyFill="1"/>
    <xf numFmtId="0" fontId="7" fillId="2" borderId="0" xfId="0" quotePrefix="1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0" Type="http://schemas.openxmlformats.org/officeDocument/2006/relationships/image" Target="../media/image10.png"/><Relationship Id="rId4" Type="http://schemas.openxmlformats.org/officeDocument/2006/relationships/image" Target="../media/image4.emf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0" Type="http://schemas.openxmlformats.org/officeDocument/2006/relationships/image" Target="../media/image10.png"/><Relationship Id="rId4" Type="http://schemas.openxmlformats.org/officeDocument/2006/relationships/image" Target="../media/image4.emf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5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12" Type="http://schemas.openxmlformats.org/officeDocument/2006/relationships/image" Target="../media/image14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3.png"/><Relationship Id="rId5" Type="http://schemas.openxmlformats.org/officeDocument/2006/relationships/image" Target="../media/image5.emf"/><Relationship Id="rId1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image" Target="../media/image4.emf"/><Relationship Id="rId9" Type="http://schemas.openxmlformats.org/officeDocument/2006/relationships/image" Target="../media/image9.png"/><Relationship Id="rId1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633885</xdr:colOff>
      <xdr:row>1</xdr:row>
      <xdr:rowOff>179717</xdr:rowOff>
    </xdr:from>
    <xdr:to>
      <xdr:col>31</xdr:col>
      <xdr:colOff>226428</xdr:colOff>
      <xdr:row>14</xdr:row>
      <xdr:rowOff>63131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3A1824-E1D7-4AF0-A82C-2AC989042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33055" y="366623"/>
          <a:ext cx="5077505" cy="2226923"/>
        </a:xfrm>
        <a:prstGeom prst="rect">
          <a:avLst/>
        </a:prstGeom>
      </xdr:spPr>
    </xdr:pic>
    <xdr:clientData/>
  </xdr:twoCellAnchor>
  <xdr:twoCellAnchor editAs="oneCell">
    <xdr:from>
      <xdr:col>13</xdr:col>
      <xdr:colOff>261257</xdr:colOff>
      <xdr:row>36</xdr:row>
      <xdr:rowOff>8162</xdr:rowOff>
    </xdr:from>
    <xdr:to>
      <xdr:col>18</xdr:col>
      <xdr:colOff>459103</xdr:colOff>
      <xdr:row>53</xdr:row>
      <xdr:rowOff>22806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B1A638-71E2-47AB-81B2-553180B3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4243" y="6789962"/>
          <a:ext cx="4116703" cy="3160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222250</xdr:colOff>
      <xdr:row>39</xdr:row>
      <xdr:rowOff>1812</xdr:rowOff>
    </xdr:from>
    <xdr:to>
      <xdr:col>23</xdr:col>
      <xdr:colOff>666750</xdr:colOff>
      <xdr:row>47</xdr:row>
      <xdr:rowOff>144886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B5CAF0-F603-45F2-AD1F-FD14D5832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1125" y="7542437"/>
          <a:ext cx="3556000" cy="1667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337457</xdr:colOff>
      <xdr:row>54</xdr:row>
      <xdr:rowOff>51707</xdr:rowOff>
    </xdr:from>
    <xdr:to>
      <xdr:col>20</xdr:col>
      <xdr:colOff>379262</xdr:colOff>
      <xdr:row>63</xdr:row>
      <xdr:rowOff>9824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9398E14-DEE9-484E-8AB1-88FDBAE6D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0443" y="10164536"/>
          <a:ext cx="5528205" cy="162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70757</xdr:colOff>
      <xdr:row>66</xdr:row>
      <xdr:rowOff>46264</xdr:rowOff>
    </xdr:from>
    <xdr:to>
      <xdr:col>18</xdr:col>
      <xdr:colOff>80109</xdr:colOff>
      <xdr:row>81</xdr:row>
      <xdr:rowOff>47626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C7598FB-FD20-4D03-A16B-7F95370BE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2382" y="12730389"/>
          <a:ext cx="3898727" cy="3176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119743</xdr:colOff>
      <xdr:row>84</xdr:row>
      <xdr:rowOff>106135</xdr:rowOff>
    </xdr:from>
    <xdr:to>
      <xdr:col>19</xdr:col>
      <xdr:colOff>314800</xdr:colOff>
      <xdr:row>90</xdr:row>
      <xdr:rowOff>31751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11857F0-6C54-4D3B-97BE-8EF4B81F9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11368" y="16536760"/>
          <a:ext cx="4862307" cy="1068616"/>
        </a:xfrm>
        <a:prstGeom prst="rect">
          <a:avLst/>
        </a:prstGeom>
      </xdr:spPr>
    </xdr:pic>
    <xdr:clientData/>
  </xdr:twoCellAnchor>
  <xdr:twoCellAnchor editAs="oneCell">
    <xdr:from>
      <xdr:col>13</xdr:col>
      <xdr:colOff>141514</xdr:colOff>
      <xdr:row>91</xdr:row>
      <xdr:rowOff>51705</xdr:rowOff>
    </xdr:from>
    <xdr:to>
      <xdr:col>19</xdr:col>
      <xdr:colOff>15875</xdr:colOff>
      <xdr:row>94</xdr:row>
      <xdr:rowOff>66334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AD47E0B-F63C-42F4-8168-2148E6942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333139" y="17815830"/>
          <a:ext cx="4541611" cy="586129"/>
        </a:xfrm>
        <a:prstGeom prst="rect">
          <a:avLst/>
        </a:prstGeom>
      </xdr:spPr>
    </xdr:pic>
    <xdr:clientData/>
  </xdr:twoCellAnchor>
  <xdr:twoCellAnchor editAs="oneCell">
    <xdr:from>
      <xdr:col>20</xdr:col>
      <xdr:colOff>123372</xdr:colOff>
      <xdr:row>80</xdr:row>
      <xdr:rowOff>54881</xdr:rowOff>
    </xdr:from>
    <xdr:to>
      <xdr:col>23</xdr:col>
      <xdr:colOff>633740</xdr:colOff>
      <xdr:row>93</xdr:row>
      <xdr:rowOff>148295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E0F7ABC-85D3-4FB0-89D2-2398A9091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760122" y="15723506"/>
          <a:ext cx="2843993" cy="2569914"/>
        </a:xfrm>
        <a:prstGeom prst="rect">
          <a:avLst/>
        </a:prstGeom>
      </xdr:spPr>
    </xdr:pic>
    <xdr:clientData/>
  </xdr:twoCellAnchor>
  <xdr:twoCellAnchor editAs="oneCell">
    <xdr:from>
      <xdr:col>20</xdr:col>
      <xdr:colOff>212397</xdr:colOff>
      <xdr:row>75</xdr:row>
      <xdr:rowOff>138113</xdr:rowOff>
    </xdr:from>
    <xdr:to>
      <xdr:col>21</xdr:col>
      <xdr:colOff>536590</xdr:colOff>
      <xdr:row>77</xdr:row>
      <xdr:rowOff>158028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517CC77-6C86-4689-8756-34D432A87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849147" y="14854238"/>
          <a:ext cx="1102068" cy="400915"/>
        </a:xfrm>
        <a:prstGeom prst="rect">
          <a:avLst/>
        </a:prstGeom>
      </xdr:spPr>
    </xdr:pic>
    <xdr:clientData/>
  </xdr:twoCellAnchor>
  <xdr:twoCellAnchor editAs="oneCell">
    <xdr:from>
      <xdr:col>25</xdr:col>
      <xdr:colOff>667558</xdr:colOff>
      <xdr:row>16</xdr:row>
      <xdr:rowOff>6107</xdr:rowOff>
    </xdr:from>
    <xdr:to>
      <xdr:col>31</xdr:col>
      <xdr:colOff>369025</xdr:colOff>
      <xdr:row>29</xdr:row>
      <xdr:rowOff>152373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A570A07-CE82-4452-836E-7CF5815EE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250294" y="2895956"/>
          <a:ext cx="4402863" cy="2482587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68</xdr:row>
      <xdr:rowOff>0</xdr:rowOff>
    </xdr:from>
    <xdr:to>
      <xdr:col>24</xdr:col>
      <xdr:colOff>31750</xdr:colOff>
      <xdr:row>72</xdr:row>
      <xdr:rowOff>0</xdr:rowOff>
    </xdr:to>
    <xdr:pic>
      <xdr:nvPicPr>
        <xdr:cNvPr id="13" name="Imagen 12"/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636750" y="13065125"/>
          <a:ext cx="3143250" cy="873125"/>
        </a:xfrm>
        <a:prstGeom prst="rect">
          <a:avLst/>
        </a:prstGeom>
      </xdr:spPr>
    </xdr:pic>
    <xdr:clientData/>
  </xdr:twoCellAnchor>
  <xdr:twoCellAnchor editAs="oneCell">
    <xdr:from>
      <xdr:col>13</xdr:col>
      <xdr:colOff>395379</xdr:colOff>
      <xdr:row>0</xdr:row>
      <xdr:rowOff>85064</xdr:rowOff>
    </xdr:from>
    <xdr:to>
      <xdr:col>23</xdr:col>
      <xdr:colOff>517586</xdr:colOff>
      <xdr:row>24</xdr:row>
      <xdr:rowOff>43781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75322" y="85064"/>
          <a:ext cx="7957868" cy="4286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633885</xdr:colOff>
      <xdr:row>1</xdr:row>
      <xdr:rowOff>179717</xdr:rowOff>
    </xdr:from>
    <xdr:to>
      <xdr:col>31</xdr:col>
      <xdr:colOff>226428</xdr:colOff>
      <xdr:row>14</xdr:row>
      <xdr:rowOff>63131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53A1824-E1D7-4AF0-A82C-2AC989042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41825" y="366407"/>
          <a:ext cx="5086563" cy="2264664"/>
        </a:xfrm>
        <a:prstGeom prst="rect">
          <a:avLst/>
        </a:prstGeom>
      </xdr:spPr>
    </xdr:pic>
    <xdr:clientData/>
  </xdr:twoCellAnchor>
  <xdr:twoCellAnchor editAs="oneCell">
    <xdr:from>
      <xdr:col>13</xdr:col>
      <xdr:colOff>261257</xdr:colOff>
      <xdr:row>36</xdr:row>
      <xdr:rowOff>8162</xdr:rowOff>
    </xdr:from>
    <xdr:to>
      <xdr:col>18</xdr:col>
      <xdr:colOff>459103</xdr:colOff>
      <xdr:row>53</xdr:row>
      <xdr:rowOff>22806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5B1A638-71E2-47AB-81B2-553180B3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5737" y="6721382"/>
          <a:ext cx="4122146" cy="3123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222250</xdr:colOff>
      <xdr:row>39</xdr:row>
      <xdr:rowOff>1812</xdr:rowOff>
    </xdr:from>
    <xdr:to>
      <xdr:col>23</xdr:col>
      <xdr:colOff>666750</xdr:colOff>
      <xdr:row>47</xdr:row>
      <xdr:rowOff>144886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4BB5CAF0-F603-45F2-AD1F-FD14D5832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05890" y="7263672"/>
          <a:ext cx="3583940" cy="1606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337457</xdr:colOff>
      <xdr:row>54</xdr:row>
      <xdr:rowOff>51707</xdr:rowOff>
    </xdr:from>
    <xdr:to>
      <xdr:col>20</xdr:col>
      <xdr:colOff>379262</xdr:colOff>
      <xdr:row>63</xdr:row>
      <xdr:rowOff>9824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9398E14-DEE9-484E-8AB1-88FDBAE6D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1937" y="10056767"/>
          <a:ext cx="5535825" cy="1604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70757</xdr:colOff>
      <xdr:row>66</xdr:row>
      <xdr:rowOff>46264</xdr:rowOff>
    </xdr:from>
    <xdr:to>
      <xdr:col>18</xdr:col>
      <xdr:colOff>80109</xdr:colOff>
      <xdr:row>82</xdr:row>
      <xdr:rowOff>81916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EC7598FB-FD20-4D03-A16B-7F95370BE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5237" y="12245884"/>
          <a:ext cx="3933652" cy="3076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119743</xdr:colOff>
      <xdr:row>84</xdr:row>
      <xdr:rowOff>106135</xdr:rowOff>
    </xdr:from>
    <xdr:to>
      <xdr:col>19</xdr:col>
      <xdr:colOff>314800</xdr:colOff>
      <xdr:row>90</xdr:row>
      <xdr:rowOff>31751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711857F0-6C54-4D3B-97BE-8EF4B81F9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94223" y="15929065"/>
          <a:ext cx="4904217" cy="1022896"/>
        </a:xfrm>
        <a:prstGeom prst="rect">
          <a:avLst/>
        </a:prstGeom>
      </xdr:spPr>
    </xdr:pic>
    <xdr:clientData/>
  </xdr:twoCellAnchor>
  <xdr:twoCellAnchor editAs="oneCell">
    <xdr:from>
      <xdr:col>13</xdr:col>
      <xdr:colOff>141514</xdr:colOff>
      <xdr:row>91</xdr:row>
      <xdr:rowOff>51705</xdr:rowOff>
    </xdr:from>
    <xdr:to>
      <xdr:col>19</xdr:col>
      <xdr:colOff>15875</xdr:colOff>
      <xdr:row>94</xdr:row>
      <xdr:rowOff>66334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AD47E0B-F63C-42F4-8168-2148E6942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315994" y="17154795"/>
          <a:ext cx="4583521" cy="563269"/>
        </a:xfrm>
        <a:prstGeom prst="rect">
          <a:avLst/>
        </a:prstGeom>
      </xdr:spPr>
    </xdr:pic>
    <xdr:clientData/>
  </xdr:twoCellAnchor>
  <xdr:twoCellAnchor editAs="oneCell">
    <xdr:from>
      <xdr:col>20</xdr:col>
      <xdr:colOff>123372</xdr:colOff>
      <xdr:row>80</xdr:row>
      <xdr:rowOff>54881</xdr:rowOff>
    </xdr:from>
    <xdr:to>
      <xdr:col>23</xdr:col>
      <xdr:colOff>633740</xdr:colOff>
      <xdr:row>93</xdr:row>
      <xdr:rowOff>148295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E0F7ABC-85D3-4FB0-89D2-2398A9091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791872" y="15146291"/>
          <a:ext cx="2864948" cy="2470854"/>
        </a:xfrm>
        <a:prstGeom prst="rect">
          <a:avLst/>
        </a:prstGeom>
      </xdr:spPr>
    </xdr:pic>
    <xdr:clientData/>
  </xdr:twoCellAnchor>
  <xdr:twoCellAnchor editAs="oneCell">
    <xdr:from>
      <xdr:col>20</xdr:col>
      <xdr:colOff>212397</xdr:colOff>
      <xdr:row>75</xdr:row>
      <xdr:rowOff>138113</xdr:rowOff>
    </xdr:from>
    <xdr:to>
      <xdr:col>21</xdr:col>
      <xdr:colOff>536590</xdr:colOff>
      <xdr:row>77</xdr:row>
      <xdr:rowOff>158028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8517CC77-6C86-4689-8756-34D432A87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880897" y="14315123"/>
          <a:ext cx="1109053" cy="385675"/>
        </a:xfrm>
        <a:prstGeom prst="rect">
          <a:avLst/>
        </a:prstGeom>
      </xdr:spPr>
    </xdr:pic>
    <xdr:clientData/>
  </xdr:twoCellAnchor>
  <xdr:twoCellAnchor editAs="oneCell">
    <xdr:from>
      <xdr:col>25</xdr:col>
      <xdr:colOff>667558</xdr:colOff>
      <xdr:row>16</xdr:row>
      <xdr:rowOff>6107</xdr:rowOff>
    </xdr:from>
    <xdr:to>
      <xdr:col>31</xdr:col>
      <xdr:colOff>369025</xdr:colOff>
      <xdr:row>29</xdr:row>
      <xdr:rowOff>34263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A570A07-CE82-4452-836E-7CF5815EE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260358" y="2939807"/>
          <a:ext cx="4410627" cy="2523706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68</xdr:row>
      <xdr:rowOff>0</xdr:rowOff>
    </xdr:from>
    <xdr:to>
      <xdr:col>24</xdr:col>
      <xdr:colOff>31750</xdr:colOff>
      <xdr:row>72</xdr:row>
      <xdr:rowOff>0</xdr:rowOff>
    </xdr:to>
    <xdr:pic>
      <xdr:nvPicPr>
        <xdr:cNvPr id="24" name="Imagen 23"/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668500" y="12565380"/>
          <a:ext cx="3171190" cy="845820"/>
        </a:xfrm>
        <a:prstGeom prst="rect">
          <a:avLst/>
        </a:prstGeom>
      </xdr:spPr>
    </xdr:pic>
    <xdr:clientData/>
  </xdr:twoCellAnchor>
  <xdr:twoCellAnchor editAs="oneCell">
    <xdr:from>
      <xdr:col>13</xdr:col>
      <xdr:colOff>395379</xdr:colOff>
      <xdr:row>0</xdr:row>
      <xdr:rowOff>85064</xdr:rowOff>
    </xdr:from>
    <xdr:to>
      <xdr:col>23</xdr:col>
      <xdr:colOff>517586</xdr:colOff>
      <xdr:row>23</xdr:row>
      <xdr:rowOff>108551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69859" y="85064"/>
          <a:ext cx="7970807" cy="43554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33744</xdr:colOff>
      <xdr:row>1</xdr:row>
      <xdr:rowOff>7621</xdr:rowOff>
    </xdr:from>
    <xdr:to>
      <xdr:col>25</xdr:col>
      <xdr:colOff>404161</xdr:colOff>
      <xdr:row>13</xdr:row>
      <xdr:rowOff>76263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86164" y="190501"/>
          <a:ext cx="5125297" cy="226320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43</xdr:row>
      <xdr:rowOff>68034</xdr:rowOff>
    </xdr:from>
    <xdr:to>
      <xdr:col>18</xdr:col>
      <xdr:colOff>197846</xdr:colOff>
      <xdr:row>60</xdr:row>
      <xdr:rowOff>82677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0429" y="8259534"/>
          <a:ext cx="4007846" cy="3253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43</xdr:row>
      <xdr:rowOff>36283</xdr:rowOff>
    </xdr:from>
    <xdr:to>
      <xdr:col>25</xdr:col>
      <xdr:colOff>727467</xdr:colOff>
      <xdr:row>56</xdr:row>
      <xdr:rowOff>88858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2429" y="8227783"/>
          <a:ext cx="5299467" cy="252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61</xdr:row>
      <xdr:rowOff>68036</xdr:rowOff>
    </xdr:from>
    <xdr:to>
      <xdr:col>20</xdr:col>
      <xdr:colOff>41805</xdr:colOff>
      <xdr:row>71</xdr:row>
      <xdr:rowOff>11185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0" y="11688536"/>
          <a:ext cx="5375805" cy="184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73</xdr:row>
      <xdr:rowOff>68034</xdr:rowOff>
    </xdr:from>
    <xdr:to>
      <xdr:col>18</xdr:col>
      <xdr:colOff>601836</xdr:colOff>
      <xdr:row>92</xdr:row>
      <xdr:rowOff>132398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0429" y="13784034"/>
          <a:ext cx="4411836" cy="3683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</xdr:colOff>
      <xdr:row>94</xdr:row>
      <xdr:rowOff>68034</xdr:rowOff>
    </xdr:from>
    <xdr:to>
      <xdr:col>20</xdr:col>
      <xdr:colOff>31751</xdr:colOff>
      <xdr:row>100</xdr:row>
      <xdr:rowOff>128717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60430" y="17784534"/>
          <a:ext cx="5365750" cy="120368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102</xdr:row>
      <xdr:rowOff>68034</xdr:rowOff>
    </xdr:from>
    <xdr:to>
      <xdr:col>19</xdr:col>
      <xdr:colOff>204107</xdr:colOff>
      <xdr:row>105</xdr:row>
      <xdr:rowOff>125219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60429" y="19308534"/>
          <a:ext cx="4776107" cy="628685"/>
        </a:xfrm>
        <a:prstGeom prst="rect">
          <a:avLst/>
        </a:prstGeom>
      </xdr:spPr>
    </xdr:pic>
    <xdr:clientData/>
  </xdr:twoCellAnchor>
  <xdr:twoCellAnchor editAs="oneCell">
    <xdr:from>
      <xdr:col>21</xdr:col>
      <xdr:colOff>27215</xdr:colOff>
      <xdr:row>94</xdr:row>
      <xdr:rowOff>81641</xdr:rowOff>
    </xdr:from>
    <xdr:to>
      <xdr:col>24</xdr:col>
      <xdr:colOff>543479</xdr:colOff>
      <xdr:row>107</xdr:row>
      <xdr:rowOff>175056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083644" y="17798141"/>
          <a:ext cx="2802264" cy="2569915"/>
        </a:xfrm>
        <a:prstGeom prst="rect">
          <a:avLst/>
        </a:prstGeom>
      </xdr:spPr>
    </xdr:pic>
    <xdr:clientData/>
  </xdr:twoCellAnchor>
  <xdr:twoCellAnchor editAs="oneCell">
    <xdr:from>
      <xdr:col>21</xdr:col>
      <xdr:colOff>99911</xdr:colOff>
      <xdr:row>91</xdr:row>
      <xdr:rowOff>73253</xdr:rowOff>
    </xdr:from>
    <xdr:to>
      <xdr:col>22</xdr:col>
      <xdr:colOff>424104</xdr:colOff>
      <xdr:row>93</xdr:row>
      <xdr:rowOff>93167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156340" y="17218253"/>
          <a:ext cx="1086193" cy="400914"/>
        </a:xfrm>
        <a:prstGeom prst="rect">
          <a:avLst/>
        </a:prstGeom>
      </xdr:spPr>
    </xdr:pic>
    <xdr:clientData/>
  </xdr:twoCellAnchor>
  <xdr:twoCellAnchor editAs="oneCell">
    <xdr:from>
      <xdr:col>19</xdr:col>
      <xdr:colOff>106680</xdr:colOff>
      <xdr:row>15</xdr:row>
      <xdr:rowOff>30480</xdr:rowOff>
    </xdr:from>
    <xdr:to>
      <xdr:col>24</xdr:col>
      <xdr:colOff>591918</xdr:colOff>
      <xdr:row>29</xdr:row>
      <xdr:rowOff>106337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659100" y="2773680"/>
          <a:ext cx="4447638" cy="263617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</xdr:rowOff>
    </xdr:from>
    <xdr:to>
      <xdr:col>17</xdr:col>
      <xdr:colOff>769620</xdr:colOff>
      <xdr:row>9</xdr:row>
      <xdr:rowOff>24687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797540" y="182881"/>
          <a:ext cx="3939540" cy="1487726"/>
        </a:xfrm>
        <a:prstGeom prst="rect">
          <a:avLst/>
        </a:prstGeom>
      </xdr:spPr>
    </xdr:pic>
    <xdr:clientData/>
  </xdr:twoCellAnchor>
  <xdr:twoCellAnchor editAs="oneCell">
    <xdr:from>
      <xdr:col>13</xdr:col>
      <xdr:colOff>1</xdr:colOff>
      <xdr:row>9</xdr:row>
      <xdr:rowOff>129541</xdr:rowOff>
    </xdr:from>
    <xdr:to>
      <xdr:col>16</xdr:col>
      <xdr:colOff>114300</xdr:colOff>
      <xdr:row>18</xdr:row>
      <xdr:rowOff>182534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797541" y="1775461"/>
          <a:ext cx="2491739" cy="1698913"/>
        </a:xfrm>
        <a:prstGeom prst="rect">
          <a:avLst/>
        </a:prstGeom>
      </xdr:spPr>
    </xdr:pic>
    <xdr:clientData/>
  </xdr:twoCellAnchor>
  <xdr:twoCellAnchor editAs="oneCell">
    <xdr:from>
      <xdr:col>13</xdr:col>
      <xdr:colOff>1</xdr:colOff>
      <xdr:row>19</xdr:row>
      <xdr:rowOff>106680</xdr:rowOff>
    </xdr:from>
    <xdr:to>
      <xdr:col>17</xdr:col>
      <xdr:colOff>731520</xdr:colOff>
      <xdr:row>30</xdr:row>
      <xdr:rowOff>36269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797541" y="3581400"/>
          <a:ext cx="3901439" cy="1941269"/>
        </a:xfrm>
        <a:prstGeom prst="rect">
          <a:avLst/>
        </a:prstGeom>
      </xdr:spPr>
    </xdr:pic>
    <xdr:clientData/>
  </xdr:twoCellAnchor>
  <xdr:twoCellAnchor editAs="oneCell">
    <xdr:from>
      <xdr:col>13</xdr:col>
      <xdr:colOff>1</xdr:colOff>
      <xdr:row>30</xdr:row>
      <xdr:rowOff>152401</xdr:rowOff>
    </xdr:from>
    <xdr:to>
      <xdr:col>17</xdr:col>
      <xdr:colOff>220980</xdr:colOff>
      <xdr:row>41</xdr:row>
      <xdr:rowOff>153816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797541" y="5638801"/>
          <a:ext cx="3390899" cy="2013095"/>
        </a:xfrm>
        <a:prstGeom prst="rect">
          <a:avLst/>
        </a:prstGeom>
      </xdr:spPr>
    </xdr:pic>
    <xdr:clientData/>
  </xdr:twoCellAnchor>
  <xdr:twoCellAnchor editAs="oneCell">
    <xdr:from>
      <xdr:col>20</xdr:col>
      <xdr:colOff>16328</xdr:colOff>
      <xdr:row>82</xdr:row>
      <xdr:rowOff>152400</xdr:rowOff>
    </xdr:from>
    <xdr:to>
      <xdr:col>26</xdr:col>
      <xdr:colOff>648425</xdr:colOff>
      <xdr:row>89</xdr:row>
      <xdr:rowOff>106680</xdr:rowOff>
    </xdr:to>
    <xdr:pic>
      <xdr:nvPicPr>
        <xdr:cNvPr id="18" name="Imagen 17"/>
        <xdr:cNvPicPr/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388442" y="15327086"/>
          <a:ext cx="5400040" cy="1249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tabSelected="1" view="pageLayout" topLeftCell="A47" zoomScale="39" zoomScaleNormal="70" zoomScalePageLayoutView="39" workbookViewId="0">
      <selection activeCell="Z55" sqref="Z55"/>
    </sheetView>
  </sheetViews>
  <sheetFormatPr baseColWidth="10" defaultRowHeight="14.4" x14ac:dyDescent="0.55000000000000004"/>
  <cols>
    <col min="1" max="1" width="4.68359375" customWidth="1"/>
    <col min="2" max="2" width="10.89453125" customWidth="1"/>
    <col min="3" max="3" width="8.20703125" customWidth="1"/>
    <col min="4" max="4" width="7.1015625" customWidth="1"/>
    <col min="5" max="5" width="7.15625" customWidth="1"/>
    <col min="6" max="6" width="11.62890625" customWidth="1"/>
    <col min="7" max="7" width="12.578125" customWidth="1"/>
    <col min="8" max="8" width="15.47265625" customWidth="1"/>
    <col min="9" max="9" width="11.89453125" customWidth="1"/>
    <col min="10" max="10" width="11.41796875" customWidth="1"/>
    <col min="11" max="11" width="8.7890625" customWidth="1"/>
    <col min="12" max="12" width="6.05078125" customWidth="1"/>
    <col min="13" max="13" width="12.1015625" customWidth="1"/>
  </cols>
  <sheetData>
    <row r="1" spans="1:13" ht="14.7" thickBot="1" x14ac:dyDescent="0.6">
      <c r="A1" s="36" t="s">
        <v>139</v>
      </c>
      <c r="B1" s="36" t="s">
        <v>140</v>
      </c>
      <c r="C1" s="36" t="s">
        <v>141</v>
      </c>
      <c r="D1" s="36" t="s">
        <v>142</v>
      </c>
      <c r="E1" s="36" t="s">
        <v>143</v>
      </c>
      <c r="F1" s="36" t="s">
        <v>144</v>
      </c>
      <c r="G1" s="36" t="s">
        <v>145</v>
      </c>
      <c r="H1" s="36" t="s">
        <v>146</v>
      </c>
      <c r="I1" s="36" t="s">
        <v>147</v>
      </c>
      <c r="J1" s="36" t="s">
        <v>148</v>
      </c>
      <c r="K1" s="36" t="s">
        <v>149</v>
      </c>
      <c r="L1" s="36" t="s">
        <v>93</v>
      </c>
      <c r="M1" s="36" t="s">
        <v>150</v>
      </c>
    </row>
    <row r="2" spans="1:13" ht="14.7" thickBot="1" x14ac:dyDescent="0.6">
      <c r="A2" s="36">
        <v>2</v>
      </c>
      <c r="B2" s="33" t="s">
        <v>151</v>
      </c>
      <c r="C2" s="34" t="s">
        <v>152</v>
      </c>
      <c r="D2" s="34"/>
      <c r="E2" s="34"/>
      <c r="F2" s="35"/>
    </row>
    <row r="3" spans="1:13" x14ac:dyDescent="0.55000000000000004">
      <c r="A3" s="36">
        <v>3</v>
      </c>
      <c r="J3" s="16"/>
    </row>
    <row r="4" spans="1:13" x14ac:dyDescent="0.55000000000000004">
      <c r="A4" s="36">
        <v>4</v>
      </c>
      <c r="B4" t="s">
        <v>0</v>
      </c>
      <c r="C4" s="58" t="s">
        <v>227</v>
      </c>
      <c r="F4" s="4"/>
      <c r="G4" t="s">
        <v>1</v>
      </c>
      <c r="H4" s="59"/>
      <c r="I4" t="s">
        <v>2</v>
      </c>
      <c r="J4" s="60"/>
      <c r="L4" s="29" t="s">
        <v>226</v>
      </c>
      <c r="M4" s="57"/>
    </row>
    <row r="5" spans="1:13" x14ac:dyDescent="0.55000000000000004">
      <c r="A5" s="36">
        <v>5</v>
      </c>
      <c r="L5" s="5" t="s">
        <v>5</v>
      </c>
      <c r="M5" s="38" t="s">
        <v>153</v>
      </c>
    </row>
    <row r="6" spans="1:13" x14ac:dyDescent="0.55000000000000004">
      <c r="A6" s="36">
        <v>6</v>
      </c>
      <c r="B6" s="2"/>
      <c r="L6" s="8" t="s">
        <v>6</v>
      </c>
      <c r="M6" s="37" t="s">
        <v>154</v>
      </c>
    </row>
    <row r="7" spans="1:13" x14ac:dyDescent="0.55000000000000004">
      <c r="A7" s="36">
        <v>7</v>
      </c>
      <c r="B7" s="2"/>
      <c r="I7" s="4"/>
      <c r="K7" s="3"/>
      <c r="L7" s="8" t="s">
        <v>7</v>
      </c>
      <c r="M7" s="37" t="s">
        <v>155</v>
      </c>
    </row>
    <row r="8" spans="1:13" x14ac:dyDescent="0.55000000000000004">
      <c r="A8" s="36">
        <v>8</v>
      </c>
      <c r="B8" t="s">
        <v>13</v>
      </c>
      <c r="D8" s="2" t="s">
        <v>134</v>
      </c>
      <c r="F8" s="39" t="s">
        <v>161</v>
      </c>
      <c r="G8" s="4"/>
      <c r="I8" s="23" t="s">
        <v>106</v>
      </c>
      <c r="J8" s="24"/>
      <c r="L8" s="8" t="s">
        <v>8</v>
      </c>
      <c r="M8" s="37" t="s">
        <v>156</v>
      </c>
    </row>
    <row r="9" spans="1:13" x14ac:dyDescent="0.55000000000000004">
      <c r="A9" s="36">
        <v>9</v>
      </c>
      <c r="B9" t="s">
        <v>14</v>
      </c>
      <c r="D9" t="s">
        <v>135</v>
      </c>
      <c r="F9" s="66">
        <v>12</v>
      </c>
      <c r="G9" s="4" t="s">
        <v>15</v>
      </c>
      <c r="I9" s="8" t="s">
        <v>104</v>
      </c>
      <c r="J9" s="61">
        <v>5</v>
      </c>
      <c r="K9" s="7"/>
      <c r="L9" s="8" t="s">
        <v>9</v>
      </c>
      <c r="M9" s="37" t="s">
        <v>157</v>
      </c>
    </row>
    <row r="10" spans="1:13" x14ac:dyDescent="0.55000000000000004">
      <c r="A10" s="36">
        <v>10</v>
      </c>
      <c r="B10" s="2" t="s">
        <v>16</v>
      </c>
      <c r="D10" t="s">
        <v>136</v>
      </c>
      <c r="F10" s="38" t="s">
        <v>162</v>
      </c>
      <c r="G10" s="4" t="s">
        <v>4</v>
      </c>
      <c r="H10" s="7"/>
      <c r="I10" s="11" t="s">
        <v>105</v>
      </c>
      <c r="J10" s="62">
        <v>45</v>
      </c>
      <c r="K10" s="7"/>
      <c r="L10" s="8" t="s">
        <v>10</v>
      </c>
      <c r="M10" s="37" t="s">
        <v>158</v>
      </c>
    </row>
    <row r="11" spans="1:13" x14ac:dyDescent="0.55000000000000004">
      <c r="A11" s="36">
        <v>11</v>
      </c>
      <c r="B11" t="s">
        <v>17</v>
      </c>
      <c r="D11" t="s">
        <v>18</v>
      </c>
      <c r="F11" s="67">
        <v>2</v>
      </c>
      <c r="G11" s="4" t="s">
        <v>4</v>
      </c>
      <c r="H11" s="7"/>
      <c r="I11" s="4"/>
      <c r="K11" s="7"/>
      <c r="L11" s="8" t="s">
        <v>11</v>
      </c>
      <c r="M11" s="37" t="s">
        <v>159</v>
      </c>
    </row>
    <row r="12" spans="1:13" x14ac:dyDescent="0.55000000000000004">
      <c r="A12" s="36">
        <v>12</v>
      </c>
      <c r="B12" t="s">
        <v>19</v>
      </c>
      <c r="D12" t="s">
        <v>20</v>
      </c>
      <c r="F12" s="63" t="s">
        <v>163</v>
      </c>
      <c r="G12" s="4" t="s">
        <v>4</v>
      </c>
      <c r="H12" s="7"/>
      <c r="K12" s="7"/>
      <c r="L12" s="11" t="s">
        <v>12</v>
      </c>
      <c r="M12" s="37" t="s">
        <v>160</v>
      </c>
    </row>
    <row r="13" spans="1:13" x14ac:dyDescent="0.55000000000000004">
      <c r="A13" s="36">
        <v>13</v>
      </c>
      <c r="B13" s="2" t="s">
        <v>21</v>
      </c>
      <c r="C13" s="1"/>
      <c r="F13" s="67">
        <v>15</v>
      </c>
      <c r="G13" s="4" t="s">
        <v>22</v>
      </c>
      <c r="H13" s="7"/>
      <c r="K13" s="7"/>
    </row>
    <row r="14" spans="1:13" x14ac:dyDescent="0.55000000000000004">
      <c r="A14" s="36">
        <v>14</v>
      </c>
      <c r="B14" s="2" t="s">
        <v>23</v>
      </c>
      <c r="C14" s="1"/>
      <c r="F14" s="67">
        <v>10</v>
      </c>
      <c r="G14" s="4" t="s">
        <v>22</v>
      </c>
      <c r="H14" s="7"/>
      <c r="J14" s="7"/>
    </row>
    <row r="15" spans="1:13" x14ac:dyDescent="0.55000000000000004">
      <c r="A15" s="36">
        <v>15</v>
      </c>
      <c r="B15" t="s">
        <v>24</v>
      </c>
      <c r="F15" s="4"/>
      <c r="G15" s="10"/>
      <c r="H15" s="7"/>
      <c r="I15" s="4"/>
      <c r="J15" s="7"/>
    </row>
    <row r="16" spans="1:13" x14ac:dyDescent="0.55000000000000004">
      <c r="A16" s="36">
        <v>16</v>
      </c>
      <c r="B16" t="s">
        <v>25</v>
      </c>
      <c r="D16" t="s">
        <v>137</v>
      </c>
      <c r="E16" s="4"/>
      <c r="F16" s="37" t="s">
        <v>165</v>
      </c>
      <c r="G16" s="4" t="s">
        <v>26</v>
      </c>
      <c r="H16" s="7"/>
      <c r="I16" s="13"/>
      <c r="J16" s="14"/>
    </row>
    <row r="17" spans="1:13" x14ac:dyDescent="0.55000000000000004">
      <c r="A17" s="36">
        <v>17</v>
      </c>
      <c r="B17" s="43" t="s">
        <v>27</v>
      </c>
      <c r="C17" s="43"/>
      <c r="D17" s="43"/>
      <c r="E17" s="43"/>
      <c r="F17" s="43" t="s">
        <v>228</v>
      </c>
      <c r="G17" s="43"/>
      <c r="H17" s="44" t="s">
        <v>164</v>
      </c>
      <c r="I17" s="45" t="s">
        <v>29</v>
      </c>
      <c r="J17" s="43"/>
    </row>
    <row r="18" spans="1:13" x14ac:dyDescent="0.55000000000000004">
      <c r="A18" s="36">
        <v>18</v>
      </c>
      <c r="B18" t="s">
        <v>30</v>
      </c>
      <c r="D18" t="s">
        <v>31</v>
      </c>
      <c r="F18" s="39" t="s">
        <v>166</v>
      </c>
      <c r="G18" s="4" t="s">
        <v>4</v>
      </c>
    </row>
    <row r="19" spans="1:13" x14ac:dyDescent="0.55000000000000004">
      <c r="A19" s="36">
        <v>19</v>
      </c>
      <c r="B19" t="s">
        <v>251</v>
      </c>
      <c r="D19" t="s">
        <v>32</v>
      </c>
      <c r="F19" s="39" t="s">
        <v>167</v>
      </c>
      <c r="G19" s="4" t="s">
        <v>4</v>
      </c>
    </row>
    <row r="20" spans="1:13" x14ac:dyDescent="0.55000000000000004">
      <c r="A20" s="36">
        <v>20</v>
      </c>
      <c r="B20" t="s">
        <v>33</v>
      </c>
      <c r="D20" t="s">
        <v>34</v>
      </c>
      <c r="F20" s="39" t="s">
        <v>168</v>
      </c>
      <c r="G20" s="4" t="s">
        <v>4</v>
      </c>
      <c r="I20" t="s">
        <v>114</v>
      </c>
      <c r="K20" s="41" t="s">
        <v>171</v>
      </c>
      <c r="M20" s="26" t="s">
        <v>115</v>
      </c>
    </row>
    <row r="21" spans="1:13" x14ac:dyDescent="0.55000000000000004">
      <c r="A21" s="36">
        <v>21</v>
      </c>
      <c r="B21" t="s">
        <v>35</v>
      </c>
      <c r="D21" t="s">
        <v>36</v>
      </c>
      <c r="F21" s="39" t="s">
        <v>169</v>
      </c>
      <c r="G21" s="4" t="s">
        <v>4</v>
      </c>
      <c r="K21" s="42" t="s">
        <v>172</v>
      </c>
      <c r="M21" s="26" t="s">
        <v>113</v>
      </c>
    </row>
    <row r="22" spans="1:13" x14ac:dyDescent="0.55000000000000004">
      <c r="A22" s="36">
        <v>22</v>
      </c>
      <c r="B22" t="s">
        <v>37</v>
      </c>
      <c r="C22" s="54" t="s">
        <v>38</v>
      </c>
      <c r="F22" s="39" t="s">
        <v>170</v>
      </c>
      <c r="H22" s="4" t="s">
        <v>39</v>
      </c>
    </row>
    <row r="23" spans="1:13" x14ac:dyDescent="0.55000000000000004">
      <c r="A23" s="36">
        <v>23</v>
      </c>
    </row>
    <row r="24" spans="1:13" x14ac:dyDescent="0.55000000000000004">
      <c r="A24" s="36">
        <v>24</v>
      </c>
      <c r="B24" s="60" t="s">
        <v>40</v>
      </c>
      <c r="J24" t="s">
        <v>229</v>
      </c>
    </row>
    <row r="25" spans="1:13" x14ac:dyDescent="0.55000000000000004">
      <c r="A25" s="36">
        <v>25</v>
      </c>
      <c r="B25" t="s">
        <v>41</v>
      </c>
      <c r="D25" s="4" t="s">
        <v>42</v>
      </c>
      <c r="E25" s="67">
        <v>0.4</v>
      </c>
      <c r="F25" s="4" t="s">
        <v>43</v>
      </c>
    </row>
    <row r="26" spans="1:13" x14ac:dyDescent="0.55000000000000004">
      <c r="A26" s="36">
        <v>26</v>
      </c>
      <c r="B26" t="s">
        <v>45</v>
      </c>
      <c r="D26" s="4" t="s">
        <v>46</v>
      </c>
      <c r="E26" s="67">
        <v>0.4</v>
      </c>
      <c r="F26" s="4" t="s">
        <v>43</v>
      </c>
    </row>
    <row r="27" spans="1:13" x14ac:dyDescent="0.55000000000000004">
      <c r="A27" s="36">
        <v>27</v>
      </c>
      <c r="B27" t="s">
        <v>64</v>
      </c>
      <c r="D27" s="4" t="s">
        <v>65</v>
      </c>
      <c r="E27" s="67">
        <v>1</v>
      </c>
      <c r="F27" s="4" t="s">
        <v>66</v>
      </c>
    </row>
    <row r="28" spans="1:13" x14ac:dyDescent="0.55000000000000004">
      <c r="A28" s="36">
        <v>28</v>
      </c>
    </row>
    <row r="29" spans="1:13" x14ac:dyDescent="0.55000000000000004">
      <c r="A29" s="36">
        <v>29</v>
      </c>
      <c r="B29" t="s">
        <v>47</v>
      </c>
    </row>
    <row r="30" spans="1:13" x14ac:dyDescent="0.55000000000000004">
      <c r="A30" s="36">
        <v>30</v>
      </c>
      <c r="C30" t="s">
        <v>48</v>
      </c>
      <c r="G30" s="70" t="s">
        <v>230</v>
      </c>
      <c r="H30" s="4" t="s">
        <v>22</v>
      </c>
      <c r="I30" s="60" t="s">
        <v>56</v>
      </c>
    </row>
    <row r="31" spans="1:13" x14ac:dyDescent="0.55000000000000004">
      <c r="A31" s="36">
        <v>31</v>
      </c>
      <c r="C31" t="s">
        <v>49</v>
      </c>
      <c r="E31" t="s">
        <v>50</v>
      </c>
      <c r="G31" s="40" t="s">
        <v>173</v>
      </c>
      <c r="H31" s="4" t="s">
        <v>22</v>
      </c>
      <c r="I31" t="s">
        <v>57</v>
      </c>
    </row>
    <row r="32" spans="1:13" ht="24" x14ac:dyDescent="0.55000000000000004">
      <c r="A32" s="36">
        <v>32</v>
      </c>
      <c r="C32" t="s">
        <v>51</v>
      </c>
      <c r="E32" t="s">
        <v>52</v>
      </c>
      <c r="G32" s="64" t="s">
        <v>174</v>
      </c>
      <c r="H32" s="4" t="s">
        <v>22</v>
      </c>
      <c r="J32" t="s">
        <v>58</v>
      </c>
    </row>
    <row r="33" spans="1:15" x14ac:dyDescent="0.55000000000000004">
      <c r="A33" s="36">
        <v>33</v>
      </c>
      <c r="B33" s="36" t="s">
        <v>140</v>
      </c>
      <c r="C33" s="36" t="s">
        <v>141</v>
      </c>
      <c r="D33" s="36" t="s">
        <v>142</v>
      </c>
      <c r="E33" s="36" t="s">
        <v>143</v>
      </c>
      <c r="F33" s="36" t="s">
        <v>144</v>
      </c>
      <c r="G33" s="36" t="s">
        <v>145</v>
      </c>
      <c r="H33" s="36" t="s">
        <v>146</v>
      </c>
      <c r="I33" s="36" t="s">
        <v>147</v>
      </c>
      <c r="J33" s="36" t="s">
        <v>148</v>
      </c>
      <c r="K33" s="36" t="s">
        <v>149</v>
      </c>
      <c r="L33" s="36" t="s">
        <v>93</v>
      </c>
      <c r="M33" s="36" t="s">
        <v>150</v>
      </c>
    </row>
    <row r="34" spans="1:15" x14ac:dyDescent="0.55000000000000004">
      <c r="A34" s="36">
        <v>34</v>
      </c>
      <c r="C34" t="s">
        <v>53</v>
      </c>
      <c r="G34" s="40" t="s">
        <v>231</v>
      </c>
      <c r="H34" s="4" t="s">
        <v>22</v>
      </c>
    </row>
    <row r="35" spans="1:15" x14ac:dyDescent="0.55000000000000004">
      <c r="A35" s="36">
        <v>35</v>
      </c>
      <c r="C35" t="s">
        <v>54</v>
      </c>
      <c r="G35" s="40" t="s">
        <v>175</v>
      </c>
      <c r="H35" s="4" t="s">
        <v>22</v>
      </c>
    </row>
    <row r="36" spans="1:15" x14ac:dyDescent="0.55000000000000004">
      <c r="A36" s="36">
        <v>36</v>
      </c>
      <c r="C36" t="s">
        <v>55</v>
      </c>
      <c r="G36" s="40" t="s">
        <v>176</v>
      </c>
      <c r="H36" s="4" t="s">
        <v>22</v>
      </c>
    </row>
    <row r="37" spans="1:15" x14ac:dyDescent="0.55000000000000004">
      <c r="A37" s="36">
        <v>37</v>
      </c>
      <c r="E37" s="17" t="s">
        <v>233</v>
      </c>
      <c r="F37" t="s">
        <v>61</v>
      </c>
      <c r="G37" s="40" t="s">
        <v>232</v>
      </c>
      <c r="H37" s="4" t="s">
        <v>22</v>
      </c>
    </row>
    <row r="38" spans="1:15" x14ac:dyDescent="0.55000000000000004">
      <c r="A38" s="36">
        <v>38</v>
      </c>
    </row>
    <row r="39" spans="1:15" x14ac:dyDescent="0.55000000000000004">
      <c r="A39" s="36">
        <v>39</v>
      </c>
      <c r="C39" t="s">
        <v>60</v>
      </c>
      <c r="E39" t="s">
        <v>62</v>
      </c>
      <c r="G39" s="40" t="s">
        <v>177</v>
      </c>
      <c r="H39" s="4" t="s">
        <v>22</v>
      </c>
      <c r="J39" t="s">
        <v>63</v>
      </c>
      <c r="K39" s="84" t="s">
        <v>234</v>
      </c>
    </row>
    <row r="40" spans="1:15" x14ac:dyDescent="0.55000000000000004">
      <c r="A40" s="36">
        <v>40</v>
      </c>
    </row>
    <row r="41" spans="1:15" x14ac:dyDescent="0.55000000000000004">
      <c r="A41" s="36">
        <v>41</v>
      </c>
      <c r="B41" t="s">
        <v>67</v>
      </c>
      <c r="N41" t="s">
        <v>110</v>
      </c>
      <c r="O41" s="1"/>
    </row>
    <row r="42" spans="1:15" x14ac:dyDescent="0.55000000000000004">
      <c r="A42" s="36">
        <v>42</v>
      </c>
      <c r="C42" t="s">
        <v>68</v>
      </c>
      <c r="D42" s="73" t="str">
        <f>$F$16</f>
        <v>=16+$M$8</v>
      </c>
      <c r="F42" t="s">
        <v>69</v>
      </c>
      <c r="H42" s="63" t="s">
        <v>236</v>
      </c>
      <c r="I42" s="4" t="s">
        <v>70</v>
      </c>
      <c r="K42" t="s">
        <v>71</v>
      </c>
    </row>
    <row r="43" spans="1:15" x14ac:dyDescent="0.55000000000000004">
      <c r="A43" s="36">
        <v>43</v>
      </c>
      <c r="C43" s="17" t="s">
        <v>72</v>
      </c>
      <c r="D43" s="74" t="s">
        <v>235</v>
      </c>
      <c r="F43" t="s">
        <v>73</v>
      </c>
      <c r="H43" s="38" t="s">
        <v>178</v>
      </c>
      <c r="I43" s="4" t="s">
        <v>74</v>
      </c>
    </row>
    <row r="44" spans="1:15" x14ac:dyDescent="0.55000000000000004">
      <c r="A44" s="36">
        <v>44</v>
      </c>
      <c r="C44" t="s">
        <v>75</v>
      </c>
      <c r="E44" s="17" t="s">
        <v>76</v>
      </c>
      <c r="H44" s="38" t="s">
        <v>179</v>
      </c>
      <c r="I44" s="4" t="s">
        <v>77</v>
      </c>
      <c r="J44" s="4"/>
      <c r="K44" t="s">
        <v>78</v>
      </c>
      <c r="L44" s="67" t="s">
        <v>79</v>
      </c>
      <c r="M44" s="4"/>
    </row>
    <row r="45" spans="1:15" x14ac:dyDescent="0.55000000000000004">
      <c r="A45" s="36">
        <v>45</v>
      </c>
      <c r="C45" t="s">
        <v>80</v>
      </c>
      <c r="F45" s="7" t="s">
        <v>81</v>
      </c>
      <c r="G45" s="78">
        <v>3</v>
      </c>
      <c r="H45" s="4" t="s">
        <v>106</v>
      </c>
    </row>
    <row r="46" spans="1:15" x14ac:dyDescent="0.55000000000000004">
      <c r="A46" s="36">
        <v>46</v>
      </c>
      <c r="C46" t="s">
        <v>82</v>
      </c>
      <c r="F46" s="63" t="s">
        <v>237</v>
      </c>
      <c r="G46" s="63" t="s">
        <v>238</v>
      </c>
      <c r="H46" s="10" t="s">
        <v>83</v>
      </c>
      <c r="I46" s="67" t="s">
        <v>239</v>
      </c>
    </row>
    <row r="47" spans="1:15" x14ac:dyDescent="0.55000000000000004">
      <c r="A47" s="36">
        <v>47</v>
      </c>
    </row>
    <row r="48" spans="1:15" x14ac:dyDescent="0.55000000000000004">
      <c r="A48" s="36">
        <v>48</v>
      </c>
      <c r="B48" t="s">
        <v>84</v>
      </c>
    </row>
    <row r="49" spans="1:13" x14ac:dyDescent="0.55000000000000004">
      <c r="A49" s="36">
        <v>49</v>
      </c>
      <c r="C49" t="s">
        <v>85</v>
      </c>
      <c r="F49" s="60" t="s">
        <v>86</v>
      </c>
      <c r="L49" s="4" t="s">
        <v>87</v>
      </c>
      <c r="M49" s="67">
        <v>0.5</v>
      </c>
    </row>
    <row r="50" spans="1:13" x14ac:dyDescent="0.55000000000000004">
      <c r="A50" s="36">
        <v>50</v>
      </c>
      <c r="C50" t="s">
        <v>88</v>
      </c>
      <c r="F50" t="s">
        <v>89</v>
      </c>
      <c r="J50" s="37" t="s">
        <v>240</v>
      </c>
      <c r="K50" s="4" t="s">
        <v>15</v>
      </c>
      <c r="M50" s="4"/>
    </row>
    <row r="51" spans="1:13" x14ac:dyDescent="0.55000000000000004">
      <c r="A51" s="36">
        <v>51</v>
      </c>
      <c r="C51" t="s">
        <v>90</v>
      </c>
      <c r="H51" s="37" t="s">
        <v>241</v>
      </c>
      <c r="I51" s="4" t="s">
        <v>15</v>
      </c>
      <c r="K51" t="s">
        <v>91</v>
      </c>
      <c r="M51" s="67" t="s">
        <v>107</v>
      </c>
    </row>
    <row r="52" spans="1:13" x14ac:dyDescent="0.55000000000000004">
      <c r="A52" s="36">
        <v>52</v>
      </c>
      <c r="C52" t="s">
        <v>92</v>
      </c>
      <c r="F52" s="7" t="s">
        <v>93</v>
      </c>
      <c r="G52" s="78">
        <v>3</v>
      </c>
      <c r="H52" s="4" t="s">
        <v>106</v>
      </c>
    </row>
    <row r="53" spans="1:13" x14ac:dyDescent="0.55000000000000004">
      <c r="A53" s="36">
        <v>53</v>
      </c>
      <c r="C53" t="s">
        <v>94</v>
      </c>
      <c r="F53" s="63" t="s">
        <v>242</v>
      </c>
      <c r="G53" s="63" t="s">
        <v>243</v>
      </c>
      <c r="H53" s="10" t="s">
        <v>83</v>
      </c>
      <c r="I53" s="67" t="s">
        <v>108</v>
      </c>
    </row>
    <row r="54" spans="1:13" x14ac:dyDescent="0.55000000000000004">
      <c r="A54" s="36">
        <v>54</v>
      </c>
    </row>
    <row r="55" spans="1:13" x14ac:dyDescent="0.55000000000000004">
      <c r="A55" s="36">
        <v>55</v>
      </c>
      <c r="B55" s="1" t="s">
        <v>95</v>
      </c>
      <c r="G55" s="63" t="s">
        <v>244</v>
      </c>
      <c r="H55" s="10" t="s">
        <v>83</v>
      </c>
      <c r="I55" s="19" t="s">
        <v>96</v>
      </c>
      <c r="J55" s="20" t="s">
        <v>97</v>
      </c>
      <c r="K55" s="79">
        <v>1.1399999999999999</v>
      </c>
    </row>
    <row r="56" spans="1:13" x14ac:dyDescent="0.55000000000000004">
      <c r="A56" s="36">
        <v>56</v>
      </c>
    </row>
    <row r="57" spans="1:13" x14ac:dyDescent="0.55000000000000004">
      <c r="A57" s="36">
        <v>57</v>
      </c>
      <c r="B57" t="s">
        <v>98</v>
      </c>
      <c r="D57" s="4" t="s">
        <v>99</v>
      </c>
      <c r="E57" s="4" t="s">
        <v>97</v>
      </c>
      <c r="F57" s="63" t="s">
        <v>245</v>
      </c>
      <c r="G57" s="4" t="s">
        <v>43</v>
      </c>
    </row>
    <row r="58" spans="1:13" x14ac:dyDescent="0.55000000000000004">
      <c r="A58" s="36">
        <v>58</v>
      </c>
      <c r="D58" s="60" t="s">
        <v>109</v>
      </c>
      <c r="H58" s="4" t="s">
        <v>100</v>
      </c>
      <c r="I58" s="4" t="s">
        <v>97</v>
      </c>
      <c r="J58" s="67">
        <v>0.3</v>
      </c>
    </row>
    <row r="59" spans="1:13" x14ac:dyDescent="0.55000000000000004">
      <c r="A59" s="36">
        <v>59</v>
      </c>
    </row>
    <row r="60" spans="1:13" x14ac:dyDescent="0.55000000000000004">
      <c r="A60" s="36">
        <v>60</v>
      </c>
      <c r="B60" s="1" t="s">
        <v>101</v>
      </c>
      <c r="E60" s="26" t="s">
        <v>103</v>
      </c>
      <c r="F60" s="4"/>
      <c r="G60" s="63" t="s">
        <v>246</v>
      </c>
      <c r="I60" s="22" t="s">
        <v>102</v>
      </c>
      <c r="J60" s="81" t="s">
        <v>247</v>
      </c>
    </row>
    <row r="61" spans="1:13" x14ac:dyDescent="0.55000000000000004">
      <c r="A61" s="36">
        <v>61</v>
      </c>
    </row>
    <row r="62" spans="1:13" x14ac:dyDescent="0.55000000000000004">
      <c r="A62" s="36">
        <v>62</v>
      </c>
      <c r="B62" s="1" t="s">
        <v>116</v>
      </c>
      <c r="D62" s="32" t="s">
        <v>248</v>
      </c>
      <c r="F62" s="10" t="s">
        <v>83</v>
      </c>
      <c r="G62" t="s">
        <v>112</v>
      </c>
      <c r="K62" s="82" t="s">
        <v>249</v>
      </c>
      <c r="L62" s="14" t="s">
        <v>29</v>
      </c>
    </row>
    <row r="63" spans="1:13" x14ac:dyDescent="0.55000000000000004">
      <c r="A63" s="36">
        <v>63</v>
      </c>
      <c r="B63" s="1"/>
      <c r="F63" s="10"/>
      <c r="K63" s="40" t="s">
        <v>250</v>
      </c>
      <c r="L63" s="14" t="s">
        <v>39</v>
      </c>
    </row>
    <row r="64" spans="1:13" x14ac:dyDescent="0.55000000000000004">
      <c r="A64" s="36">
        <v>64</v>
      </c>
      <c r="B64" s="1"/>
      <c r="F64" s="10"/>
      <c r="K64" s="47"/>
      <c r="L64" s="14"/>
    </row>
    <row r="65" spans="1:13" x14ac:dyDescent="0.55000000000000004">
      <c r="A65" s="36">
        <v>65</v>
      </c>
      <c r="B65" s="1"/>
      <c r="F65" s="10"/>
      <c r="K65" s="47"/>
      <c r="L65" s="14"/>
    </row>
    <row r="66" spans="1:13" x14ac:dyDescent="0.55000000000000004">
      <c r="A66" s="36">
        <v>66</v>
      </c>
      <c r="B66" s="36" t="s">
        <v>140</v>
      </c>
      <c r="C66" s="36" t="s">
        <v>141</v>
      </c>
      <c r="D66" s="36" t="s">
        <v>142</v>
      </c>
      <c r="E66" s="36" t="s">
        <v>143</v>
      </c>
      <c r="F66" s="36" t="s">
        <v>144</v>
      </c>
      <c r="G66" s="36" t="s">
        <v>145</v>
      </c>
      <c r="H66" s="36" t="s">
        <v>146</v>
      </c>
      <c r="I66" s="36" t="s">
        <v>147</v>
      </c>
      <c r="J66" s="36" t="s">
        <v>148</v>
      </c>
      <c r="K66" s="36" t="s">
        <v>149</v>
      </c>
      <c r="L66" s="36" t="s">
        <v>93</v>
      </c>
      <c r="M66" s="36" t="s">
        <v>150</v>
      </c>
    </row>
    <row r="67" spans="1:13" x14ac:dyDescent="0.55000000000000004">
      <c r="A67" s="36">
        <v>67</v>
      </c>
    </row>
    <row r="68" spans="1:13" x14ac:dyDescent="0.55000000000000004">
      <c r="A68" s="36">
        <v>68</v>
      </c>
      <c r="B68" s="1" t="s">
        <v>117</v>
      </c>
      <c r="D68" t="s">
        <v>118</v>
      </c>
      <c r="G68" s="32" t="s">
        <v>119</v>
      </c>
    </row>
    <row r="69" spans="1:13" ht="23.4" x14ac:dyDescent="0.55000000000000004">
      <c r="A69" s="36">
        <v>69</v>
      </c>
      <c r="B69" s="43"/>
      <c r="C69" s="43"/>
      <c r="D69" s="43" t="s">
        <v>121</v>
      </c>
      <c r="E69" s="43"/>
      <c r="F69" s="43"/>
      <c r="G69" s="51" t="s">
        <v>83</v>
      </c>
      <c r="H69" s="49" t="s">
        <v>120</v>
      </c>
      <c r="I69" s="50" t="s">
        <v>252</v>
      </c>
      <c r="J69" s="49" t="s">
        <v>39</v>
      </c>
    </row>
    <row r="70" spans="1:13" x14ac:dyDescent="0.55000000000000004">
      <c r="A70" s="36">
        <v>70</v>
      </c>
      <c r="I70" s="40" t="s">
        <v>180</v>
      </c>
      <c r="J70" s="14" t="s">
        <v>29</v>
      </c>
    </row>
    <row r="71" spans="1:13" x14ac:dyDescent="0.55000000000000004">
      <c r="A71" s="36">
        <v>71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</row>
    <row r="72" spans="1:13" x14ac:dyDescent="0.55000000000000004">
      <c r="A72" s="36">
        <v>72</v>
      </c>
      <c r="B72" s="1" t="s">
        <v>122</v>
      </c>
      <c r="D72" s="14" t="s">
        <v>123</v>
      </c>
      <c r="E72" t="s">
        <v>124</v>
      </c>
      <c r="H72" s="40" t="s">
        <v>181</v>
      </c>
      <c r="I72" s="14" t="s">
        <v>39</v>
      </c>
    </row>
    <row r="73" spans="1:13" ht="31.5" x14ac:dyDescent="0.55000000000000004">
      <c r="A73" s="36">
        <v>73</v>
      </c>
      <c r="B73" s="48" t="s">
        <v>125</v>
      </c>
      <c r="C73" s="43"/>
      <c r="D73" s="49" t="s">
        <v>126</v>
      </c>
      <c r="E73" s="43" t="s">
        <v>127</v>
      </c>
      <c r="F73" s="43"/>
      <c r="G73" s="43"/>
      <c r="H73" s="43"/>
      <c r="I73" s="43"/>
      <c r="J73" s="56" t="s">
        <v>253</v>
      </c>
      <c r="K73" s="49" t="s">
        <v>128</v>
      </c>
    </row>
    <row r="74" spans="1:13" x14ac:dyDescent="0.55000000000000004">
      <c r="A74" s="36">
        <v>74</v>
      </c>
      <c r="J74" s="40" t="s">
        <v>182</v>
      </c>
      <c r="K74" s="14" t="s">
        <v>129</v>
      </c>
    </row>
    <row r="75" spans="1:13" x14ac:dyDescent="0.55000000000000004">
      <c r="A75" s="36">
        <v>75</v>
      </c>
    </row>
    <row r="76" spans="1:13" x14ac:dyDescent="0.55000000000000004">
      <c r="A76" s="36">
        <v>76</v>
      </c>
      <c r="B76" s="83" t="s">
        <v>130</v>
      </c>
      <c r="C76" s="1"/>
      <c r="D76" s="1"/>
      <c r="E76" s="1"/>
      <c r="F76" s="1"/>
      <c r="G76" s="1"/>
    </row>
    <row r="77" spans="1:13" x14ac:dyDescent="0.55000000000000004">
      <c r="A77" s="36">
        <v>77</v>
      </c>
      <c r="B77" s="1"/>
      <c r="C77" s="1" t="s">
        <v>131</v>
      </c>
      <c r="D77" s="1"/>
      <c r="E77" s="1"/>
      <c r="F77" s="1"/>
      <c r="G77" s="1"/>
    </row>
    <row r="78" spans="1:13" x14ac:dyDescent="0.55000000000000004">
      <c r="A78" s="36">
        <v>78</v>
      </c>
    </row>
    <row r="79" spans="1:13" x14ac:dyDescent="0.55000000000000004">
      <c r="A79" s="36">
        <v>79</v>
      </c>
    </row>
    <row r="80" spans="1:13" x14ac:dyDescent="0.55000000000000004">
      <c r="A80" s="36">
        <v>80</v>
      </c>
    </row>
    <row r="81" spans="1:1" x14ac:dyDescent="0.55000000000000004">
      <c r="A81" s="36">
        <v>81</v>
      </c>
    </row>
    <row r="82" spans="1:1" x14ac:dyDescent="0.55000000000000004">
      <c r="A82" s="36">
        <v>82</v>
      </c>
    </row>
    <row r="83" spans="1:1" x14ac:dyDescent="0.55000000000000004">
      <c r="A83" s="36">
        <v>83</v>
      </c>
    </row>
    <row r="84" spans="1:1" x14ac:dyDescent="0.55000000000000004">
      <c r="A84" s="36">
        <v>84</v>
      </c>
    </row>
    <row r="85" spans="1:1" x14ac:dyDescent="0.55000000000000004">
      <c r="A85" s="36">
        <v>85</v>
      </c>
    </row>
    <row r="86" spans="1:1" x14ac:dyDescent="0.55000000000000004">
      <c r="A86" s="36">
        <v>86</v>
      </c>
    </row>
    <row r="87" spans="1:1" x14ac:dyDescent="0.55000000000000004">
      <c r="A87" s="36">
        <v>87</v>
      </c>
    </row>
    <row r="88" spans="1:1" x14ac:dyDescent="0.55000000000000004">
      <c r="A88" s="36">
        <v>88</v>
      </c>
    </row>
    <row r="89" spans="1:1" x14ac:dyDescent="0.55000000000000004">
      <c r="A89" s="36">
        <v>89</v>
      </c>
    </row>
    <row r="90" spans="1:1" x14ac:dyDescent="0.55000000000000004">
      <c r="A90" s="36">
        <v>90</v>
      </c>
    </row>
    <row r="91" spans="1:1" x14ac:dyDescent="0.55000000000000004">
      <c r="A91" s="36">
        <v>91</v>
      </c>
    </row>
    <row r="92" spans="1:1" x14ac:dyDescent="0.55000000000000004">
      <c r="A92" s="36">
        <v>92</v>
      </c>
    </row>
    <row r="93" spans="1:1" x14ac:dyDescent="0.55000000000000004">
      <c r="A93" s="36">
        <v>93</v>
      </c>
    </row>
    <row r="94" spans="1:1" x14ac:dyDescent="0.55000000000000004">
      <c r="A94" s="36">
        <v>94</v>
      </c>
    </row>
    <row r="95" spans="1:1" x14ac:dyDescent="0.55000000000000004">
      <c r="A95" s="36">
        <v>95</v>
      </c>
    </row>
    <row r="96" spans="1:1" x14ac:dyDescent="0.55000000000000004">
      <c r="A96" s="36">
        <v>97</v>
      </c>
    </row>
    <row r="97" spans="1:1" x14ac:dyDescent="0.55000000000000004">
      <c r="A97" s="36"/>
    </row>
    <row r="98" spans="1:1" x14ac:dyDescent="0.55000000000000004">
      <c r="A98" s="36"/>
    </row>
    <row r="99" spans="1:1" x14ac:dyDescent="0.55000000000000004">
      <c r="A99" s="36"/>
    </row>
    <row r="100" spans="1:1" x14ac:dyDescent="0.55000000000000004">
      <c r="A100" s="36"/>
    </row>
    <row r="101" spans="1:1" x14ac:dyDescent="0.55000000000000004">
      <c r="A101" s="36"/>
    </row>
    <row r="102" spans="1:1" x14ac:dyDescent="0.55000000000000004">
      <c r="A102" s="36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view="pageLayout" topLeftCell="A3" zoomScale="46" zoomScaleNormal="70" zoomScalePageLayoutView="46" workbookViewId="0">
      <selection activeCell="Y30" sqref="Y30"/>
    </sheetView>
  </sheetViews>
  <sheetFormatPr baseColWidth="10" defaultRowHeight="14.4" x14ac:dyDescent="0.55000000000000004"/>
  <cols>
    <col min="1" max="1" width="4.68359375" customWidth="1"/>
    <col min="2" max="2" width="10.89453125" customWidth="1"/>
    <col min="3" max="3" width="8.20703125" customWidth="1"/>
    <col min="4" max="4" width="7.1015625" customWidth="1"/>
    <col min="5" max="5" width="10" customWidth="1"/>
    <col min="6" max="6" width="7" customWidth="1"/>
    <col min="7" max="7" width="14.1015625" customWidth="1"/>
    <col min="8" max="8" width="18.578125" customWidth="1"/>
    <col min="9" max="9" width="12.3671875" customWidth="1"/>
    <col min="10" max="10" width="12.1015625" customWidth="1"/>
    <col min="11" max="11" width="8.7890625" customWidth="1"/>
    <col min="12" max="12" width="6.05078125" customWidth="1"/>
    <col min="13" max="13" width="10.83984375" customWidth="1"/>
  </cols>
  <sheetData>
    <row r="1" spans="1:13" ht="14.7" thickBot="1" x14ac:dyDescent="0.6">
      <c r="A1" s="36" t="s">
        <v>139</v>
      </c>
      <c r="B1" s="36" t="s">
        <v>140</v>
      </c>
      <c r="C1" s="36" t="s">
        <v>141</v>
      </c>
      <c r="D1" s="36" t="s">
        <v>142</v>
      </c>
      <c r="E1" s="36" t="s">
        <v>143</v>
      </c>
      <c r="F1" s="36" t="s">
        <v>144</v>
      </c>
      <c r="G1" s="36" t="s">
        <v>145</v>
      </c>
      <c r="H1" s="36" t="s">
        <v>146</v>
      </c>
      <c r="I1" s="36" t="s">
        <v>147</v>
      </c>
      <c r="J1" s="36" t="s">
        <v>148</v>
      </c>
      <c r="K1" s="36" t="s">
        <v>149</v>
      </c>
      <c r="L1" s="36" t="s">
        <v>93</v>
      </c>
      <c r="M1" s="36" t="s">
        <v>150</v>
      </c>
    </row>
    <row r="2" spans="1:13" ht="14.7" thickBot="1" x14ac:dyDescent="0.6">
      <c r="A2" s="36">
        <v>2</v>
      </c>
      <c r="B2" s="33" t="s">
        <v>151</v>
      </c>
      <c r="C2" s="34" t="s">
        <v>152</v>
      </c>
      <c r="D2" s="34"/>
      <c r="E2" s="34"/>
      <c r="F2" s="35"/>
    </row>
    <row r="3" spans="1:13" x14ac:dyDescent="0.55000000000000004">
      <c r="A3" s="36">
        <v>3</v>
      </c>
      <c r="J3" s="16"/>
    </row>
    <row r="4" spans="1:13" x14ac:dyDescent="0.55000000000000004">
      <c r="A4" s="36">
        <v>4</v>
      </c>
      <c r="B4" t="s">
        <v>0</v>
      </c>
      <c r="C4" s="65" t="str">
        <f>VLOOKUP(M4,Listado!B3:C22,2,FALSE)</f>
        <v>García Ramírez, Fernando</v>
      </c>
      <c r="F4" s="4"/>
      <c r="G4" t="s">
        <v>1</v>
      </c>
      <c r="H4" s="60"/>
      <c r="I4" t="s">
        <v>2</v>
      </c>
      <c r="J4" s="60"/>
      <c r="L4" s="29" t="s">
        <v>226</v>
      </c>
      <c r="M4" s="57" t="s">
        <v>225</v>
      </c>
    </row>
    <row r="5" spans="1:13" x14ac:dyDescent="0.55000000000000004">
      <c r="A5" s="36">
        <v>5</v>
      </c>
      <c r="L5" s="5" t="s">
        <v>5</v>
      </c>
      <c r="M5" s="38" t="str">
        <f>MID(M4,1,1)</f>
        <v>2</v>
      </c>
    </row>
    <row r="6" spans="1:13" x14ac:dyDescent="0.55000000000000004">
      <c r="A6" s="36">
        <v>6</v>
      </c>
      <c r="B6" s="2"/>
      <c r="L6" s="8" t="s">
        <v>6</v>
      </c>
      <c r="M6" s="37" t="str">
        <f>MID(M4,2,1)</f>
        <v>5</v>
      </c>
    </row>
    <row r="7" spans="1:13" x14ac:dyDescent="0.55000000000000004">
      <c r="A7" s="36">
        <v>7</v>
      </c>
      <c r="B7" s="2"/>
      <c r="I7" s="4"/>
      <c r="K7" s="3"/>
      <c r="L7" s="8" t="s">
        <v>7</v>
      </c>
      <c r="M7" s="37" t="str">
        <f>MID(M4,3,1)</f>
        <v>0</v>
      </c>
    </row>
    <row r="8" spans="1:13" x14ac:dyDescent="0.55000000000000004">
      <c r="A8" s="36">
        <v>8</v>
      </c>
      <c r="B8" t="s">
        <v>13</v>
      </c>
      <c r="D8" s="2" t="s">
        <v>134</v>
      </c>
      <c r="F8" s="37">
        <f>60+(8*($M$12))</f>
        <v>76</v>
      </c>
      <c r="G8" s="4"/>
      <c r="I8" s="23" t="s">
        <v>106</v>
      </c>
      <c r="J8" s="24"/>
      <c r="L8" s="8" t="s">
        <v>8</v>
      </c>
      <c r="M8" s="37" t="str">
        <f>MID(M4,4,1)</f>
        <v>3</v>
      </c>
    </row>
    <row r="9" spans="1:13" x14ac:dyDescent="0.55000000000000004">
      <c r="A9" s="36">
        <v>9</v>
      </c>
      <c r="B9" t="s">
        <v>14</v>
      </c>
      <c r="D9" t="s">
        <v>135</v>
      </c>
      <c r="F9" s="66">
        <v>12</v>
      </c>
      <c r="G9" s="4" t="s">
        <v>15</v>
      </c>
      <c r="I9" s="8" t="s">
        <v>104</v>
      </c>
      <c r="J9" s="61">
        <v>5</v>
      </c>
      <c r="K9" s="7"/>
      <c r="L9" s="8" t="s">
        <v>9</v>
      </c>
      <c r="M9" s="37" t="str">
        <f>MID(M4,5,1)</f>
        <v>1</v>
      </c>
    </row>
    <row r="10" spans="1:13" x14ac:dyDescent="0.55000000000000004">
      <c r="A10" s="36">
        <v>10</v>
      </c>
      <c r="B10" s="2" t="s">
        <v>16</v>
      </c>
      <c r="D10" t="s">
        <v>136</v>
      </c>
      <c r="F10" s="38">
        <f>10+$M$5</f>
        <v>12</v>
      </c>
      <c r="G10" s="4" t="s">
        <v>4</v>
      </c>
      <c r="H10" s="7"/>
      <c r="I10" s="11" t="s">
        <v>105</v>
      </c>
      <c r="J10" s="62">
        <v>45</v>
      </c>
      <c r="K10" s="7"/>
      <c r="L10" s="8" t="s">
        <v>10</v>
      </c>
      <c r="M10" s="37" t="str">
        <f>MID(M4,6,1)</f>
        <v>9</v>
      </c>
    </row>
    <row r="11" spans="1:13" x14ac:dyDescent="0.55000000000000004">
      <c r="A11" s="36">
        <v>11</v>
      </c>
      <c r="B11" t="s">
        <v>17</v>
      </c>
      <c r="D11" t="s">
        <v>18</v>
      </c>
      <c r="F11" s="67">
        <v>2</v>
      </c>
      <c r="G11" s="4" t="s">
        <v>4</v>
      </c>
      <c r="H11" s="7"/>
      <c r="I11" s="4"/>
      <c r="K11" s="7"/>
      <c r="L11" s="8" t="s">
        <v>11</v>
      </c>
      <c r="M11" s="37" t="str">
        <f>MID(M4,7,1)</f>
        <v>9</v>
      </c>
    </row>
    <row r="12" spans="1:13" x14ac:dyDescent="0.55000000000000004">
      <c r="A12" s="36">
        <v>12</v>
      </c>
      <c r="B12" t="s">
        <v>19</v>
      </c>
      <c r="D12" t="s">
        <v>20</v>
      </c>
      <c r="F12" s="68">
        <f xml:space="preserve"> 16 + $M$6</f>
        <v>21</v>
      </c>
      <c r="G12" s="4" t="s">
        <v>4</v>
      </c>
      <c r="H12" s="7"/>
      <c r="K12" s="7"/>
      <c r="L12" s="11" t="s">
        <v>12</v>
      </c>
      <c r="M12" s="37" t="str">
        <f>MID(M4,8,1)</f>
        <v>2</v>
      </c>
    </row>
    <row r="13" spans="1:13" x14ac:dyDescent="0.55000000000000004">
      <c r="A13" s="36">
        <v>13</v>
      </c>
      <c r="B13" s="2" t="s">
        <v>21</v>
      </c>
      <c r="C13" s="1"/>
      <c r="F13" s="67">
        <v>15</v>
      </c>
      <c r="G13" s="4" t="s">
        <v>22</v>
      </c>
      <c r="H13" s="7"/>
      <c r="K13" s="7"/>
    </row>
    <row r="14" spans="1:13" x14ac:dyDescent="0.55000000000000004">
      <c r="A14" s="36">
        <v>14</v>
      </c>
      <c r="B14" s="2" t="s">
        <v>23</v>
      </c>
      <c r="C14" s="1"/>
      <c r="F14" s="67">
        <v>10</v>
      </c>
      <c r="G14" s="4" t="s">
        <v>22</v>
      </c>
      <c r="H14" s="7"/>
      <c r="J14" s="7"/>
    </row>
    <row r="15" spans="1:13" x14ac:dyDescent="0.55000000000000004">
      <c r="A15" s="36">
        <v>15</v>
      </c>
      <c r="B15" s="60" t="s">
        <v>24</v>
      </c>
      <c r="F15" s="4"/>
      <c r="G15" s="10"/>
      <c r="H15" s="7"/>
      <c r="I15" s="4"/>
      <c r="J15" s="7"/>
    </row>
    <row r="16" spans="1:13" x14ac:dyDescent="0.55000000000000004">
      <c r="A16" s="36">
        <v>16</v>
      </c>
      <c r="B16" t="s">
        <v>25</v>
      </c>
      <c r="D16" t="s">
        <v>137</v>
      </c>
      <c r="E16" s="4"/>
      <c r="F16" s="37">
        <f>16+$M$8</f>
        <v>19</v>
      </c>
      <c r="G16" s="4" t="s">
        <v>26</v>
      </c>
      <c r="H16" s="7"/>
      <c r="I16" s="13"/>
      <c r="J16" s="14"/>
    </row>
    <row r="17" spans="1:13" x14ac:dyDescent="0.55000000000000004">
      <c r="A17" s="36">
        <v>17</v>
      </c>
      <c r="B17" s="43" t="s">
        <v>27</v>
      </c>
      <c r="C17" s="43"/>
      <c r="D17" s="43"/>
      <c r="E17" s="43"/>
      <c r="F17" s="43" t="s">
        <v>228</v>
      </c>
      <c r="G17" s="43"/>
      <c r="H17" s="44">
        <f>1000+(100*$M$11)</f>
        <v>1900</v>
      </c>
      <c r="I17" s="45" t="s">
        <v>29</v>
      </c>
      <c r="J17" s="43"/>
    </row>
    <row r="18" spans="1:13" x14ac:dyDescent="0.55000000000000004">
      <c r="A18" s="36">
        <v>18</v>
      </c>
      <c r="B18" t="s">
        <v>30</v>
      </c>
      <c r="D18" t="s">
        <v>31</v>
      </c>
      <c r="F18" s="37">
        <f>4+(0.1*$M$8)</f>
        <v>4.3</v>
      </c>
      <c r="G18" s="4" t="s">
        <v>4</v>
      </c>
    </row>
    <row r="19" spans="1:13" x14ac:dyDescent="0.55000000000000004">
      <c r="A19" s="36">
        <v>19</v>
      </c>
      <c r="B19" t="s">
        <v>251</v>
      </c>
      <c r="D19" t="s">
        <v>32</v>
      </c>
      <c r="F19" s="37">
        <f>6+(0.1*$M$11)</f>
        <v>6.9</v>
      </c>
      <c r="G19" s="4" t="s">
        <v>4</v>
      </c>
    </row>
    <row r="20" spans="1:13" x14ac:dyDescent="0.55000000000000004">
      <c r="A20" s="36">
        <v>20</v>
      </c>
      <c r="B20" t="s">
        <v>33</v>
      </c>
      <c r="D20" t="s">
        <v>34</v>
      </c>
      <c r="F20" s="37">
        <f>0.75*$F$10</f>
        <v>9</v>
      </c>
      <c r="G20" s="4" t="s">
        <v>4</v>
      </c>
      <c r="I20" t="s">
        <v>114</v>
      </c>
      <c r="K20" s="69">
        <f>ATAN($F$18/$F$20)</f>
        <v>0.44571231262863559</v>
      </c>
      <c r="M20" s="26" t="s">
        <v>115</v>
      </c>
    </row>
    <row r="21" spans="1:13" x14ac:dyDescent="0.55000000000000004">
      <c r="A21" s="36">
        <v>21</v>
      </c>
      <c r="B21" t="s">
        <v>35</v>
      </c>
      <c r="D21" t="s">
        <v>36</v>
      </c>
      <c r="F21" s="37">
        <f>0.1*$M$10</f>
        <v>0.9</v>
      </c>
      <c r="G21" s="4" t="s">
        <v>4</v>
      </c>
      <c r="K21" s="40">
        <f>DEGREES($K$20)</f>
        <v>25.537434390636321</v>
      </c>
      <c r="M21" s="26" t="s">
        <v>113</v>
      </c>
    </row>
    <row r="22" spans="1:13" x14ac:dyDescent="0.55000000000000004">
      <c r="A22" s="36">
        <v>22</v>
      </c>
      <c r="B22" t="s">
        <v>37</v>
      </c>
      <c r="D22" s="32" t="s">
        <v>38</v>
      </c>
      <c r="F22" s="37">
        <f>120+(10*(M5+M11))</f>
        <v>230</v>
      </c>
      <c r="G22" s="4" t="s">
        <v>39</v>
      </c>
    </row>
    <row r="23" spans="1:13" ht="23.7" customHeight="1" x14ac:dyDescent="0.55000000000000004">
      <c r="A23" s="36">
        <v>23</v>
      </c>
    </row>
    <row r="24" spans="1:13" x14ac:dyDescent="0.55000000000000004">
      <c r="A24" s="36">
        <v>24</v>
      </c>
      <c r="B24" s="60" t="s">
        <v>40</v>
      </c>
      <c r="J24" t="s">
        <v>229</v>
      </c>
    </row>
    <row r="25" spans="1:13" x14ac:dyDescent="0.55000000000000004">
      <c r="A25" s="36">
        <v>25</v>
      </c>
      <c r="B25" t="s">
        <v>41</v>
      </c>
      <c r="D25" s="4" t="s">
        <v>42</v>
      </c>
      <c r="E25" s="67">
        <v>0.4</v>
      </c>
      <c r="F25" s="4" t="s">
        <v>43</v>
      </c>
    </row>
    <row r="26" spans="1:13" x14ac:dyDescent="0.55000000000000004">
      <c r="A26" s="36">
        <v>26</v>
      </c>
      <c r="B26" t="s">
        <v>45</v>
      </c>
      <c r="D26" s="4" t="s">
        <v>46</v>
      </c>
      <c r="E26" s="67">
        <v>0.4</v>
      </c>
      <c r="F26" s="4" t="s">
        <v>43</v>
      </c>
    </row>
    <row r="27" spans="1:13" x14ac:dyDescent="0.55000000000000004">
      <c r="A27" s="36">
        <v>27</v>
      </c>
      <c r="B27" t="s">
        <v>64</v>
      </c>
      <c r="D27" s="4" t="s">
        <v>65</v>
      </c>
      <c r="E27" s="67">
        <v>1</v>
      </c>
      <c r="F27" s="4" t="s">
        <v>66</v>
      </c>
    </row>
    <row r="28" spans="1:13" x14ac:dyDescent="0.55000000000000004">
      <c r="A28" s="36">
        <v>28</v>
      </c>
    </row>
    <row r="29" spans="1:13" x14ac:dyDescent="0.55000000000000004">
      <c r="A29" s="36">
        <v>29</v>
      </c>
      <c r="B29" t="s">
        <v>47</v>
      </c>
    </row>
    <row r="30" spans="1:13" x14ac:dyDescent="0.55000000000000004">
      <c r="A30" s="36">
        <v>30</v>
      </c>
      <c r="C30" t="s">
        <v>48</v>
      </c>
      <c r="G30" s="71">
        <f>$F$13</f>
        <v>15</v>
      </c>
      <c r="H30" s="4" t="s">
        <v>22</v>
      </c>
      <c r="I30" s="60" t="s">
        <v>56</v>
      </c>
    </row>
    <row r="31" spans="1:13" x14ac:dyDescent="0.55000000000000004">
      <c r="A31" s="36">
        <v>31</v>
      </c>
      <c r="C31" t="s">
        <v>49</v>
      </c>
      <c r="E31" t="s">
        <v>50</v>
      </c>
      <c r="G31" s="40">
        <f>$F$12/$E$25</f>
        <v>52.5</v>
      </c>
      <c r="H31" s="4" t="s">
        <v>22</v>
      </c>
      <c r="I31" t="s">
        <v>57</v>
      </c>
    </row>
    <row r="32" spans="1:13" x14ac:dyDescent="0.55000000000000004">
      <c r="A32" s="36">
        <v>32</v>
      </c>
      <c r="C32" t="s">
        <v>51</v>
      </c>
      <c r="E32" t="s">
        <v>52</v>
      </c>
      <c r="G32" s="40">
        <f>($F$10-$F$11)/$E$26</f>
        <v>25</v>
      </c>
      <c r="H32" s="4" t="s">
        <v>22</v>
      </c>
      <c r="J32" t="s">
        <v>58</v>
      </c>
    </row>
    <row r="33" spans="1:15" x14ac:dyDescent="0.55000000000000004">
      <c r="A33" s="36">
        <v>33</v>
      </c>
      <c r="B33" s="36" t="s">
        <v>140</v>
      </c>
      <c r="C33" s="36" t="s">
        <v>141</v>
      </c>
      <c r="D33" s="36" t="s">
        <v>142</v>
      </c>
      <c r="E33" s="36" t="s">
        <v>143</v>
      </c>
      <c r="F33" s="36" t="s">
        <v>144</v>
      </c>
      <c r="G33" s="36" t="s">
        <v>145</v>
      </c>
      <c r="H33" s="36" t="s">
        <v>146</v>
      </c>
      <c r="I33" s="36" t="s">
        <v>147</v>
      </c>
      <c r="J33" s="36" t="s">
        <v>148</v>
      </c>
      <c r="K33" s="36" t="s">
        <v>149</v>
      </c>
      <c r="L33" s="36" t="s">
        <v>93</v>
      </c>
      <c r="M33" s="36" t="s">
        <v>150</v>
      </c>
    </row>
    <row r="34" spans="1:15" x14ac:dyDescent="0.55000000000000004">
      <c r="A34" s="36">
        <v>34</v>
      </c>
      <c r="C34" t="s">
        <v>53</v>
      </c>
      <c r="G34" s="46">
        <f>$F$14</f>
        <v>10</v>
      </c>
      <c r="H34" s="4" t="s">
        <v>22</v>
      </c>
    </row>
    <row r="35" spans="1:15" x14ac:dyDescent="0.55000000000000004">
      <c r="A35" s="36">
        <v>35</v>
      </c>
      <c r="C35" t="s">
        <v>54</v>
      </c>
      <c r="G35" s="40">
        <f>$G$32</f>
        <v>25</v>
      </c>
      <c r="H35" s="4" t="s">
        <v>22</v>
      </c>
    </row>
    <row r="36" spans="1:15" x14ac:dyDescent="0.55000000000000004">
      <c r="A36" s="36">
        <v>36</v>
      </c>
      <c r="C36" t="s">
        <v>55</v>
      </c>
      <c r="G36" s="40">
        <f>$G$31</f>
        <v>52.5</v>
      </c>
      <c r="H36" s="4" t="s">
        <v>22</v>
      </c>
    </row>
    <row r="37" spans="1:15" x14ac:dyDescent="0.55000000000000004">
      <c r="A37" s="36">
        <v>37</v>
      </c>
      <c r="E37" t="s">
        <v>59</v>
      </c>
      <c r="F37" t="s">
        <v>61</v>
      </c>
      <c r="G37" s="40">
        <f>SUM(G30:G36)</f>
        <v>180</v>
      </c>
      <c r="H37" s="4" t="s">
        <v>22</v>
      </c>
    </row>
    <row r="38" spans="1:15" x14ac:dyDescent="0.55000000000000004">
      <c r="A38" s="36">
        <v>38</v>
      </c>
    </row>
    <row r="39" spans="1:15" x14ac:dyDescent="0.55000000000000004">
      <c r="A39" s="36">
        <v>39</v>
      </c>
      <c r="C39" t="s">
        <v>60</v>
      </c>
      <c r="E39" t="s">
        <v>62</v>
      </c>
      <c r="G39" s="40">
        <f>$F$9*3600/$F$8</f>
        <v>568.42105263157896</v>
      </c>
      <c r="H39" s="4" t="s">
        <v>22</v>
      </c>
      <c r="J39" t="s">
        <v>63</v>
      </c>
      <c r="K39" s="72" t="str">
        <f>IF(G39&gt;G37, "Aceptable", "Tiempo insuficiente")</f>
        <v>Aceptable</v>
      </c>
    </row>
    <row r="40" spans="1:15" x14ac:dyDescent="0.55000000000000004">
      <c r="A40" s="36">
        <v>40</v>
      </c>
    </row>
    <row r="41" spans="1:15" x14ac:dyDescent="0.55000000000000004">
      <c r="A41" s="36">
        <v>41</v>
      </c>
      <c r="B41" t="s">
        <v>67</v>
      </c>
      <c r="N41" t="s">
        <v>110</v>
      </c>
      <c r="O41" s="1"/>
    </row>
    <row r="42" spans="1:15" x14ac:dyDescent="0.55000000000000004">
      <c r="A42" s="36">
        <v>42</v>
      </c>
      <c r="C42" t="s">
        <v>68</v>
      </c>
      <c r="D42" s="76">
        <f>$F$16</f>
        <v>19</v>
      </c>
      <c r="F42" t="s">
        <v>69</v>
      </c>
      <c r="H42" s="76">
        <f>$J$9*$J$10</f>
        <v>225</v>
      </c>
      <c r="I42" s="4" t="s">
        <v>70</v>
      </c>
      <c r="K42" s="60" t="s">
        <v>71</v>
      </c>
    </row>
    <row r="43" spans="1:15" x14ac:dyDescent="0.55000000000000004">
      <c r="A43" s="36">
        <v>43</v>
      </c>
      <c r="C43" s="17" t="s">
        <v>72</v>
      </c>
      <c r="D43" s="77">
        <f>$F$9</f>
        <v>12</v>
      </c>
      <c r="F43" t="s">
        <v>73</v>
      </c>
      <c r="H43" s="38">
        <f>$F$8</f>
        <v>76</v>
      </c>
      <c r="I43" s="4" t="s">
        <v>74</v>
      </c>
    </row>
    <row r="44" spans="1:15" x14ac:dyDescent="0.55000000000000004">
      <c r="A44" s="36">
        <v>44</v>
      </c>
      <c r="C44" t="s">
        <v>75</v>
      </c>
      <c r="E44" s="17" t="s">
        <v>76</v>
      </c>
      <c r="H44" s="38">
        <f>$D$42*$H$42*$H$43</f>
        <v>324900</v>
      </c>
      <c r="I44" s="4" t="s">
        <v>77</v>
      </c>
      <c r="J44" s="4"/>
      <c r="K44" t="s">
        <v>78</v>
      </c>
      <c r="L44" s="67" t="s">
        <v>79</v>
      </c>
      <c r="M44" s="4"/>
    </row>
    <row r="45" spans="1:15" x14ac:dyDescent="0.55000000000000004">
      <c r="A45" s="36">
        <v>45</v>
      </c>
      <c r="C45" t="s">
        <v>80</v>
      </c>
      <c r="F45" s="7" t="s">
        <v>81</v>
      </c>
      <c r="G45" s="78">
        <v>3</v>
      </c>
      <c r="H45" s="4" t="s">
        <v>106</v>
      </c>
    </row>
    <row r="46" spans="1:15" x14ac:dyDescent="0.55000000000000004">
      <c r="A46" s="36">
        <v>46</v>
      </c>
      <c r="C46" t="s">
        <v>82</v>
      </c>
      <c r="F46" s="75" t="str">
        <f>L44</f>
        <v>U5</v>
      </c>
      <c r="G46" s="75" t="str">
        <f>"Q"&amp;G45</f>
        <v>Q3</v>
      </c>
      <c r="H46" s="10" t="s">
        <v>83</v>
      </c>
      <c r="I46" s="67" t="s">
        <v>239</v>
      </c>
    </row>
    <row r="47" spans="1:15" x14ac:dyDescent="0.55000000000000004">
      <c r="A47" s="36">
        <v>47</v>
      </c>
    </row>
    <row r="48" spans="1:15" x14ac:dyDescent="0.55000000000000004">
      <c r="A48" s="36">
        <v>48</v>
      </c>
      <c r="B48" t="s">
        <v>84</v>
      </c>
    </row>
    <row r="49" spans="1:13" x14ac:dyDescent="0.55000000000000004">
      <c r="A49" s="36">
        <v>49</v>
      </c>
      <c r="C49" t="s">
        <v>85</v>
      </c>
      <c r="F49" s="60" t="s">
        <v>86</v>
      </c>
      <c r="L49" s="4" t="s">
        <v>87</v>
      </c>
      <c r="M49" s="67">
        <v>0.5</v>
      </c>
    </row>
    <row r="50" spans="1:13" x14ac:dyDescent="0.55000000000000004">
      <c r="A50" s="36">
        <v>50</v>
      </c>
      <c r="C50" t="s">
        <v>88</v>
      </c>
      <c r="F50" t="s">
        <v>89</v>
      </c>
      <c r="J50" s="37">
        <f>D42*H42*D43</f>
        <v>51300</v>
      </c>
      <c r="K50" s="4" t="s">
        <v>15</v>
      </c>
      <c r="M50" s="4"/>
    </row>
    <row r="51" spans="1:13" x14ac:dyDescent="0.55000000000000004">
      <c r="A51" s="36">
        <v>51</v>
      </c>
      <c r="C51" t="s">
        <v>90</v>
      </c>
      <c r="H51" s="37">
        <f>M49*J50</f>
        <v>25650</v>
      </c>
      <c r="I51" s="4" t="s">
        <v>15</v>
      </c>
      <c r="K51" t="s">
        <v>91</v>
      </c>
      <c r="M51" s="67" t="s">
        <v>107</v>
      </c>
    </row>
    <row r="52" spans="1:13" x14ac:dyDescent="0.55000000000000004">
      <c r="A52" s="36">
        <v>52</v>
      </c>
      <c r="C52" t="s">
        <v>92</v>
      </c>
      <c r="F52" s="7" t="s">
        <v>93</v>
      </c>
      <c r="G52" s="78">
        <v>3</v>
      </c>
      <c r="H52" s="4" t="s">
        <v>106</v>
      </c>
    </row>
    <row r="53" spans="1:13" x14ac:dyDescent="0.55000000000000004">
      <c r="A53" s="36">
        <v>53</v>
      </c>
      <c r="C53" t="s">
        <v>94</v>
      </c>
      <c r="F53" s="75" t="str">
        <f>M51</f>
        <v>T8</v>
      </c>
      <c r="G53" s="75" t="str">
        <f>"L"&amp;G52</f>
        <v>L3</v>
      </c>
      <c r="H53" s="10" t="s">
        <v>83</v>
      </c>
      <c r="I53" s="67" t="s">
        <v>108</v>
      </c>
    </row>
    <row r="54" spans="1:13" x14ac:dyDescent="0.55000000000000004">
      <c r="A54" s="36">
        <v>54</v>
      </c>
    </row>
    <row r="55" spans="1:13" x14ac:dyDescent="0.55000000000000004">
      <c r="A55" s="36">
        <v>55</v>
      </c>
      <c r="B55" s="1" t="s">
        <v>95</v>
      </c>
      <c r="G55" s="75" t="str">
        <f>I46</f>
        <v>A6</v>
      </c>
      <c r="H55" s="10" t="s">
        <v>83</v>
      </c>
      <c r="I55" s="19" t="s">
        <v>96</v>
      </c>
      <c r="J55" s="20" t="s">
        <v>97</v>
      </c>
      <c r="K55" s="79">
        <v>1.1399999999999999</v>
      </c>
    </row>
    <row r="56" spans="1:13" x14ac:dyDescent="0.55000000000000004">
      <c r="A56" s="36">
        <v>56</v>
      </c>
    </row>
    <row r="57" spans="1:13" x14ac:dyDescent="0.55000000000000004">
      <c r="A57" s="36">
        <v>57</v>
      </c>
      <c r="B57" t="s">
        <v>98</v>
      </c>
      <c r="D57" s="4" t="s">
        <v>99</v>
      </c>
      <c r="E57" s="4" t="s">
        <v>97</v>
      </c>
      <c r="F57" s="75">
        <f>$E$25</f>
        <v>0.4</v>
      </c>
      <c r="G57" s="4" t="s">
        <v>43</v>
      </c>
    </row>
    <row r="58" spans="1:13" x14ac:dyDescent="0.55000000000000004">
      <c r="A58" s="36">
        <v>58</v>
      </c>
      <c r="D58" s="60" t="s">
        <v>109</v>
      </c>
      <c r="H58" s="4" t="s">
        <v>100</v>
      </c>
      <c r="I58" s="4" t="s">
        <v>97</v>
      </c>
      <c r="J58" s="67">
        <v>0.3</v>
      </c>
    </row>
    <row r="59" spans="1:13" x14ac:dyDescent="0.55000000000000004">
      <c r="A59" s="36">
        <v>59</v>
      </c>
    </row>
    <row r="60" spans="1:13" x14ac:dyDescent="0.55000000000000004">
      <c r="A60" s="36">
        <v>60</v>
      </c>
      <c r="B60" s="1" t="s">
        <v>101</v>
      </c>
      <c r="E60" s="26" t="s">
        <v>103</v>
      </c>
      <c r="F60" s="4"/>
      <c r="G60" s="76">
        <f>1+J58*F57</f>
        <v>1.1200000000000001</v>
      </c>
      <c r="I60" s="22" t="s">
        <v>102</v>
      </c>
      <c r="J60" s="80">
        <f>MAX(G60,1.15)</f>
        <v>1.1499999999999999</v>
      </c>
    </row>
    <row r="61" spans="1:13" x14ac:dyDescent="0.55000000000000004">
      <c r="A61" s="36">
        <v>61</v>
      </c>
    </row>
    <row r="62" spans="1:13" x14ac:dyDescent="0.55000000000000004">
      <c r="A62" s="36">
        <v>62</v>
      </c>
      <c r="B62" s="1" t="s">
        <v>116</v>
      </c>
      <c r="D62" t="s">
        <v>111</v>
      </c>
      <c r="F62" s="10" t="s">
        <v>83</v>
      </c>
      <c r="G62" t="s">
        <v>112</v>
      </c>
      <c r="K62" s="40">
        <f>$H$17*SIN($K$20)/($K$55*$J$60)</f>
        <v>624.78364060491151</v>
      </c>
      <c r="L62" s="14" t="s">
        <v>29</v>
      </c>
    </row>
    <row r="63" spans="1:13" x14ac:dyDescent="0.55000000000000004">
      <c r="A63" s="36">
        <v>63</v>
      </c>
      <c r="B63" s="1"/>
      <c r="F63" s="10"/>
      <c r="K63" s="40">
        <f>K62/9.806</f>
        <v>63.714423883837604</v>
      </c>
      <c r="L63" s="14" t="s">
        <v>39</v>
      </c>
    </row>
    <row r="64" spans="1:13" x14ac:dyDescent="0.55000000000000004">
      <c r="A64" s="36">
        <v>64</v>
      </c>
      <c r="B64" s="1"/>
      <c r="F64" s="10"/>
      <c r="K64" s="47"/>
      <c r="L64" s="14"/>
    </row>
    <row r="65" spans="1:13" x14ac:dyDescent="0.55000000000000004">
      <c r="A65" s="36">
        <v>65</v>
      </c>
      <c r="B65" s="1"/>
      <c r="F65" s="10"/>
      <c r="K65" s="47"/>
      <c r="L65" s="14"/>
    </row>
    <row r="66" spans="1:13" x14ac:dyDescent="0.55000000000000004">
      <c r="A66" s="36">
        <v>66</v>
      </c>
      <c r="B66" s="36" t="s">
        <v>140</v>
      </c>
      <c r="C66" s="36" t="s">
        <v>141</v>
      </c>
      <c r="D66" s="36" t="s">
        <v>142</v>
      </c>
      <c r="E66" s="36" t="s">
        <v>143</v>
      </c>
      <c r="F66" s="36" t="s">
        <v>144</v>
      </c>
      <c r="G66" s="36" t="s">
        <v>145</v>
      </c>
      <c r="H66" s="36" t="s">
        <v>146</v>
      </c>
      <c r="I66" s="36" t="s">
        <v>147</v>
      </c>
      <c r="J66" s="36" t="s">
        <v>148</v>
      </c>
      <c r="K66" s="36" t="s">
        <v>149</v>
      </c>
      <c r="L66" s="36" t="s">
        <v>93</v>
      </c>
      <c r="M66" s="36" t="s">
        <v>150</v>
      </c>
    </row>
    <row r="67" spans="1:13" x14ac:dyDescent="0.55000000000000004">
      <c r="A67" s="36">
        <v>67</v>
      </c>
    </row>
    <row r="68" spans="1:13" x14ac:dyDescent="0.55000000000000004">
      <c r="A68" s="36">
        <v>68</v>
      </c>
      <c r="B68" s="1" t="s">
        <v>117</v>
      </c>
      <c r="D68" t="s">
        <v>118</v>
      </c>
      <c r="G68" s="32" t="s">
        <v>119</v>
      </c>
    </row>
    <row r="69" spans="1:13" ht="23.4" x14ac:dyDescent="0.55000000000000004">
      <c r="A69" s="36">
        <v>69</v>
      </c>
      <c r="B69" s="43"/>
      <c r="C69" s="43"/>
      <c r="D69" s="43" t="s">
        <v>121</v>
      </c>
      <c r="E69" s="43"/>
      <c r="F69" s="43"/>
      <c r="G69" s="51" t="s">
        <v>83</v>
      </c>
      <c r="H69" s="49" t="s">
        <v>120</v>
      </c>
      <c r="I69" s="50">
        <f>(((F22*F21)+((K63*F20)/2)))/F19</f>
        <v>71.552885141633212</v>
      </c>
      <c r="J69" s="49" t="s">
        <v>39</v>
      </c>
    </row>
    <row r="70" spans="1:13" x14ac:dyDescent="0.55000000000000004">
      <c r="A70" s="36">
        <v>70</v>
      </c>
      <c r="I70" s="40">
        <f>I69*9.806</f>
        <v>701.64759169885519</v>
      </c>
      <c r="J70" s="14" t="s">
        <v>29</v>
      </c>
    </row>
    <row r="71" spans="1:13" x14ac:dyDescent="0.55000000000000004">
      <c r="A71" s="36">
        <v>71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</row>
    <row r="72" spans="1:13" x14ac:dyDescent="0.55000000000000004">
      <c r="A72" s="36">
        <v>72</v>
      </c>
      <c r="B72" s="1" t="s">
        <v>122</v>
      </c>
      <c r="D72" s="14" t="s">
        <v>123</v>
      </c>
      <c r="E72" t="s">
        <v>124</v>
      </c>
      <c r="H72" s="40">
        <f xml:space="preserve"> K55*(I69+F22+(J60*K63))</f>
        <v>427.29989877317291</v>
      </c>
      <c r="I72" s="14" t="s">
        <v>39</v>
      </c>
    </row>
    <row r="73" spans="1:13" x14ac:dyDescent="0.55000000000000004">
      <c r="A73" s="36">
        <v>73</v>
      </c>
      <c r="B73" s="48" t="s">
        <v>125</v>
      </c>
      <c r="C73" s="43"/>
      <c r="D73" s="49" t="s">
        <v>126</v>
      </c>
      <c r="E73" s="43" t="s">
        <v>127</v>
      </c>
      <c r="F73" s="43"/>
      <c r="G73" s="43"/>
      <c r="H73" s="43"/>
      <c r="I73" s="43"/>
      <c r="J73" s="50">
        <f>K55*((-I69*F19) +(F22* F21)+ (J60*(K63*F20)))</f>
        <v>424.91149288131294</v>
      </c>
      <c r="K73" s="49" t="s">
        <v>128</v>
      </c>
    </row>
    <row r="74" spans="1:13" x14ac:dyDescent="0.55000000000000004">
      <c r="A74" s="36">
        <v>74</v>
      </c>
      <c r="J74" s="40">
        <f>J73*9.806</f>
        <v>4166.682099194154</v>
      </c>
      <c r="K74" s="14" t="s">
        <v>129</v>
      </c>
    </row>
    <row r="75" spans="1:13" x14ac:dyDescent="0.55000000000000004">
      <c r="A75" s="36">
        <v>75</v>
      </c>
    </row>
    <row r="76" spans="1:13" x14ac:dyDescent="0.55000000000000004">
      <c r="A76" s="36">
        <v>76</v>
      </c>
      <c r="B76" s="83" t="s">
        <v>130</v>
      </c>
      <c r="C76" s="1"/>
      <c r="D76" s="1"/>
      <c r="E76" s="1"/>
      <c r="F76" s="1"/>
      <c r="G76" s="1"/>
    </row>
    <row r="77" spans="1:13" x14ac:dyDescent="0.55000000000000004">
      <c r="A77" s="36">
        <v>77</v>
      </c>
      <c r="B77" s="1"/>
      <c r="C77" s="1" t="s">
        <v>131</v>
      </c>
      <c r="D77" s="1"/>
      <c r="E77" s="1"/>
      <c r="F77" s="1"/>
      <c r="G77" s="1"/>
    </row>
    <row r="78" spans="1:13" x14ac:dyDescent="0.55000000000000004">
      <c r="A78" s="36">
        <v>78</v>
      </c>
    </row>
    <row r="79" spans="1:13" x14ac:dyDescent="0.55000000000000004">
      <c r="A79" s="36">
        <v>79</v>
      </c>
    </row>
    <row r="80" spans="1:13" x14ac:dyDescent="0.55000000000000004">
      <c r="A80" s="36">
        <v>80</v>
      </c>
    </row>
    <row r="81" spans="1:1" x14ac:dyDescent="0.55000000000000004">
      <c r="A81" s="36">
        <v>81</v>
      </c>
    </row>
    <row r="82" spans="1:1" x14ac:dyDescent="0.55000000000000004">
      <c r="A82" s="36">
        <v>82</v>
      </c>
    </row>
    <row r="83" spans="1:1" x14ac:dyDescent="0.55000000000000004">
      <c r="A83" s="36">
        <v>83</v>
      </c>
    </row>
    <row r="84" spans="1:1" x14ac:dyDescent="0.55000000000000004">
      <c r="A84" s="36">
        <v>84</v>
      </c>
    </row>
    <row r="85" spans="1:1" x14ac:dyDescent="0.55000000000000004">
      <c r="A85" s="36">
        <v>85</v>
      </c>
    </row>
    <row r="86" spans="1:1" x14ac:dyDescent="0.55000000000000004">
      <c r="A86" s="36">
        <v>86</v>
      </c>
    </row>
    <row r="87" spans="1:1" x14ac:dyDescent="0.55000000000000004">
      <c r="A87" s="36">
        <v>87</v>
      </c>
    </row>
    <row r="88" spans="1:1" x14ac:dyDescent="0.55000000000000004">
      <c r="A88" s="36">
        <v>88</v>
      </c>
    </row>
    <row r="89" spans="1:1" x14ac:dyDescent="0.55000000000000004">
      <c r="A89" s="36">
        <v>89</v>
      </c>
    </row>
    <row r="90" spans="1:1" x14ac:dyDescent="0.55000000000000004">
      <c r="A90" s="36">
        <v>90</v>
      </c>
    </row>
    <row r="91" spans="1:1" x14ac:dyDescent="0.55000000000000004">
      <c r="A91" s="36">
        <v>91</v>
      </c>
    </row>
    <row r="92" spans="1:1" x14ac:dyDescent="0.55000000000000004">
      <c r="A92" s="36">
        <v>92</v>
      </c>
    </row>
    <row r="93" spans="1:1" x14ac:dyDescent="0.55000000000000004">
      <c r="A93" s="36">
        <v>93</v>
      </c>
    </row>
    <row r="94" spans="1:1" x14ac:dyDescent="0.55000000000000004">
      <c r="A94" s="36">
        <v>94</v>
      </c>
    </row>
    <row r="95" spans="1:1" x14ac:dyDescent="0.55000000000000004">
      <c r="A95" s="36">
        <v>95</v>
      </c>
    </row>
    <row r="96" spans="1:1" x14ac:dyDescent="0.55000000000000004">
      <c r="A96" s="36">
        <v>97</v>
      </c>
    </row>
    <row r="97" spans="1:1" x14ac:dyDescent="0.55000000000000004">
      <c r="A97" s="36">
        <v>93</v>
      </c>
    </row>
    <row r="98" spans="1:1" x14ac:dyDescent="0.55000000000000004">
      <c r="A98" s="36">
        <v>94</v>
      </c>
    </row>
    <row r="99" spans="1:1" x14ac:dyDescent="0.55000000000000004">
      <c r="A99" s="36">
        <v>95</v>
      </c>
    </row>
    <row r="100" spans="1:1" x14ac:dyDescent="0.55000000000000004">
      <c r="A100" s="36">
        <v>96</v>
      </c>
    </row>
    <row r="101" spans="1:1" x14ac:dyDescent="0.55000000000000004">
      <c r="A101" s="36">
        <v>97</v>
      </c>
    </row>
    <row r="102" spans="1:1" x14ac:dyDescent="0.55000000000000004">
      <c r="A102" s="36">
        <v>98</v>
      </c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zoomScale="70" zoomScaleNormal="70" workbookViewId="0">
      <selection activeCell="D103" sqref="D103"/>
    </sheetView>
  </sheetViews>
  <sheetFormatPr baseColWidth="10" defaultRowHeight="14.4" x14ac:dyDescent="0.55000000000000004"/>
  <cols>
    <col min="2" max="2" width="14.89453125" bestFit="1" customWidth="1"/>
    <col min="6" max="6" width="11.89453125" bestFit="1" customWidth="1"/>
    <col min="10" max="10" width="11.89453125" bestFit="1" customWidth="1"/>
    <col min="12" max="12" width="11.89453125" customWidth="1"/>
  </cols>
  <sheetData>
    <row r="1" spans="1:12" x14ac:dyDescent="0.55000000000000004">
      <c r="A1" s="1" t="s">
        <v>3</v>
      </c>
      <c r="B1" s="1"/>
      <c r="C1" s="1"/>
      <c r="D1" s="1" t="s">
        <v>138</v>
      </c>
      <c r="E1" s="1"/>
      <c r="F1" s="1" t="s">
        <v>132</v>
      </c>
    </row>
    <row r="3" spans="1:12" x14ac:dyDescent="0.55000000000000004">
      <c r="A3" t="s">
        <v>0</v>
      </c>
      <c r="B3" t="str">
        <f>VLOOKUP(L4,Listado!B3:C22,2,FALSE)</f>
        <v>García Ramírez, Fernando</v>
      </c>
      <c r="E3" t="s">
        <v>1</v>
      </c>
      <c r="F3" s="4"/>
      <c r="H3" t="s">
        <v>2</v>
      </c>
      <c r="I3" s="16"/>
    </row>
    <row r="4" spans="1:12" x14ac:dyDescent="0.55000000000000004">
      <c r="F4" s="4"/>
      <c r="K4" s="29" t="s">
        <v>133</v>
      </c>
      <c r="L4" s="30" t="s">
        <v>225</v>
      </c>
    </row>
    <row r="5" spans="1:12" x14ac:dyDescent="0.55000000000000004">
      <c r="K5" s="5" t="s">
        <v>5</v>
      </c>
      <c r="L5" s="6" t="str">
        <f>MID(L4,1,1)</f>
        <v>2</v>
      </c>
    </row>
    <row r="6" spans="1:12" x14ac:dyDescent="0.55000000000000004">
      <c r="A6" s="2"/>
      <c r="K6" s="8" t="s">
        <v>6</v>
      </c>
      <c r="L6" s="9" t="str">
        <f>MID(L4,2,1)</f>
        <v>5</v>
      </c>
    </row>
    <row r="7" spans="1:12" x14ac:dyDescent="0.55000000000000004">
      <c r="A7" s="2"/>
      <c r="H7" s="4"/>
      <c r="J7" s="3"/>
      <c r="K7" s="8" t="s">
        <v>7</v>
      </c>
      <c r="L7" s="9" t="str">
        <f>MID(L4,3,1)</f>
        <v>0</v>
      </c>
    </row>
    <row r="8" spans="1:12" x14ac:dyDescent="0.55000000000000004">
      <c r="A8" t="s">
        <v>13</v>
      </c>
      <c r="C8" s="2" t="s">
        <v>134</v>
      </c>
      <c r="E8" s="4">
        <f>60+(8*($L$12))</f>
        <v>76</v>
      </c>
      <c r="F8" s="4"/>
      <c r="H8" s="23" t="s">
        <v>106</v>
      </c>
      <c r="I8" s="24"/>
      <c r="K8" s="8" t="s">
        <v>8</v>
      </c>
      <c r="L8" s="9" t="str">
        <f>MID(L4,4,1)</f>
        <v>3</v>
      </c>
    </row>
    <row r="9" spans="1:12" x14ac:dyDescent="0.55000000000000004">
      <c r="A9" t="s">
        <v>14</v>
      </c>
      <c r="C9" t="s">
        <v>135</v>
      </c>
      <c r="E9" s="15">
        <v>12</v>
      </c>
      <c r="F9" s="4" t="s">
        <v>15</v>
      </c>
      <c r="H9" s="8" t="s">
        <v>104</v>
      </c>
      <c r="I9" s="9">
        <v>5</v>
      </c>
      <c r="J9" s="7"/>
      <c r="K9" s="8" t="s">
        <v>9</v>
      </c>
      <c r="L9" s="9" t="str">
        <f>MID(L4,5,1)</f>
        <v>1</v>
      </c>
    </row>
    <row r="10" spans="1:12" x14ac:dyDescent="0.55000000000000004">
      <c r="A10" s="2" t="s">
        <v>16</v>
      </c>
      <c r="C10" t="s">
        <v>136</v>
      </c>
      <c r="E10" s="15">
        <f>10+$L$5</f>
        <v>12</v>
      </c>
      <c r="F10" s="4" t="s">
        <v>4</v>
      </c>
      <c r="G10" s="7"/>
      <c r="H10" s="11" t="s">
        <v>105</v>
      </c>
      <c r="I10" s="12">
        <v>45</v>
      </c>
      <c r="J10" s="7"/>
      <c r="K10" s="8" t="s">
        <v>10</v>
      </c>
      <c r="L10" s="9" t="str">
        <f>MID(L4,6,1)</f>
        <v>9</v>
      </c>
    </row>
    <row r="11" spans="1:12" x14ac:dyDescent="0.55000000000000004">
      <c r="A11" t="s">
        <v>17</v>
      </c>
      <c r="C11" t="s">
        <v>18</v>
      </c>
      <c r="E11" s="4">
        <v>2</v>
      </c>
      <c r="F11" s="4" t="s">
        <v>4</v>
      </c>
      <c r="G11" s="7"/>
      <c r="H11" s="4"/>
      <c r="J11" s="7"/>
      <c r="K11" s="8" t="s">
        <v>11</v>
      </c>
      <c r="L11" s="9" t="str">
        <f>MID(L4,7,1)</f>
        <v>9</v>
      </c>
    </row>
    <row r="12" spans="1:12" x14ac:dyDescent="0.55000000000000004">
      <c r="A12" t="s">
        <v>19</v>
      </c>
      <c r="C12" t="s">
        <v>20</v>
      </c>
      <c r="E12" s="4">
        <f xml:space="preserve"> 16 + $L$6</f>
        <v>21</v>
      </c>
      <c r="F12" s="4" t="s">
        <v>4</v>
      </c>
      <c r="G12" s="7"/>
      <c r="J12" s="7"/>
      <c r="K12" s="11" t="s">
        <v>12</v>
      </c>
      <c r="L12" s="12" t="str">
        <f>MID(L4,8,1)</f>
        <v>2</v>
      </c>
    </row>
    <row r="13" spans="1:12" x14ac:dyDescent="0.55000000000000004">
      <c r="A13" s="2" t="s">
        <v>21</v>
      </c>
      <c r="B13" s="1"/>
      <c r="E13" s="4">
        <v>15</v>
      </c>
      <c r="F13" s="4" t="s">
        <v>22</v>
      </c>
      <c r="G13" s="7"/>
      <c r="J13" s="7"/>
    </row>
    <row r="14" spans="1:12" x14ac:dyDescent="0.55000000000000004">
      <c r="A14" s="2" t="s">
        <v>23</v>
      </c>
      <c r="B14" s="1"/>
      <c r="E14" s="4">
        <v>10</v>
      </c>
      <c r="F14" s="4" t="s">
        <v>22</v>
      </c>
      <c r="G14" s="7"/>
      <c r="I14" s="7"/>
    </row>
    <row r="15" spans="1:12" x14ac:dyDescent="0.55000000000000004">
      <c r="A15" t="s">
        <v>24</v>
      </c>
      <c r="E15" s="4"/>
      <c r="F15" s="10"/>
      <c r="G15" s="7"/>
      <c r="H15" s="4"/>
      <c r="I15" s="7"/>
    </row>
    <row r="16" spans="1:12" x14ac:dyDescent="0.55000000000000004">
      <c r="A16" t="s">
        <v>25</v>
      </c>
      <c r="C16" t="s">
        <v>137</v>
      </c>
      <c r="D16" s="4"/>
      <c r="E16" s="4">
        <f>16+$L$8</f>
        <v>19</v>
      </c>
      <c r="F16" s="4" t="s">
        <v>26</v>
      </c>
      <c r="G16" s="7"/>
      <c r="H16" s="13"/>
      <c r="I16" s="14"/>
    </row>
    <row r="17" spans="1:11" x14ac:dyDescent="0.55000000000000004">
      <c r="A17" t="s">
        <v>27</v>
      </c>
      <c r="E17" t="s">
        <v>28</v>
      </c>
      <c r="G17" s="4">
        <f>1000+(100*$L$11)</f>
        <v>1900</v>
      </c>
      <c r="H17" s="4" t="s">
        <v>29</v>
      </c>
    </row>
    <row r="18" spans="1:11" x14ac:dyDescent="0.55000000000000004">
      <c r="A18" t="s">
        <v>30</v>
      </c>
      <c r="C18" t="s">
        <v>31</v>
      </c>
      <c r="E18" s="4">
        <f>4+(0.1*$L$8)</f>
        <v>4.3</v>
      </c>
      <c r="F18" s="4" t="s">
        <v>4</v>
      </c>
    </row>
    <row r="19" spans="1:11" x14ac:dyDescent="0.55000000000000004">
      <c r="A19" t="s">
        <v>251</v>
      </c>
      <c r="C19" t="s">
        <v>32</v>
      </c>
      <c r="E19" s="4">
        <f>6+(0.1*$L$11)</f>
        <v>6.9</v>
      </c>
      <c r="F19" s="4" t="s">
        <v>4</v>
      </c>
    </row>
    <row r="20" spans="1:11" x14ac:dyDescent="0.55000000000000004">
      <c r="A20" t="s">
        <v>33</v>
      </c>
      <c r="C20" t="s">
        <v>34</v>
      </c>
      <c r="E20" s="4">
        <f>0.75*$E$10</f>
        <v>9</v>
      </c>
      <c r="F20" s="4" t="s">
        <v>4</v>
      </c>
      <c r="H20" t="s">
        <v>114</v>
      </c>
      <c r="J20" s="27">
        <f>ATAN($E$18/$E$20)</f>
        <v>0.44571231262863559</v>
      </c>
      <c r="K20" s="4" t="s">
        <v>115</v>
      </c>
    </row>
    <row r="21" spans="1:11" x14ac:dyDescent="0.55000000000000004">
      <c r="A21" t="s">
        <v>35</v>
      </c>
      <c r="C21" t="s">
        <v>36</v>
      </c>
      <c r="E21" s="4">
        <f>0.1*$L$10</f>
        <v>0.9</v>
      </c>
      <c r="F21" s="4" t="s">
        <v>4</v>
      </c>
      <c r="J21" s="16">
        <f>DEGREES($J$20)</f>
        <v>25.537434390636321</v>
      </c>
      <c r="K21" s="4" t="s">
        <v>113</v>
      </c>
    </row>
    <row r="22" spans="1:11" x14ac:dyDescent="0.55000000000000004">
      <c r="A22" t="s">
        <v>37</v>
      </c>
      <c r="C22" t="s">
        <v>38</v>
      </c>
      <c r="E22" s="4">
        <f>120+(10*(L5+L11))</f>
        <v>230</v>
      </c>
      <c r="F22" s="4" t="s">
        <v>39</v>
      </c>
    </row>
    <row r="24" spans="1:11" x14ac:dyDescent="0.55000000000000004">
      <c r="A24" t="s">
        <v>40</v>
      </c>
      <c r="I24" t="s">
        <v>44</v>
      </c>
    </row>
    <row r="25" spans="1:11" x14ac:dyDescent="0.55000000000000004">
      <c r="A25" t="s">
        <v>41</v>
      </c>
      <c r="C25" s="4" t="s">
        <v>42</v>
      </c>
      <c r="D25" s="4">
        <v>0.4</v>
      </c>
      <c r="E25" s="4" t="s">
        <v>43</v>
      </c>
    </row>
    <row r="26" spans="1:11" x14ac:dyDescent="0.55000000000000004">
      <c r="A26" t="s">
        <v>45</v>
      </c>
      <c r="C26" s="4" t="s">
        <v>46</v>
      </c>
      <c r="D26" s="4">
        <v>0.4</v>
      </c>
      <c r="E26" s="4" t="s">
        <v>43</v>
      </c>
    </row>
    <row r="27" spans="1:11" x14ac:dyDescent="0.55000000000000004">
      <c r="A27" t="s">
        <v>64</v>
      </c>
      <c r="C27" s="4" t="s">
        <v>65</v>
      </c>
      <c r="D27" s="4">
        <v>1</v>
      </c>
      <c r="E27" s="4" t="s">
        <v>66</v>
      </c>
    </row>
    <row r="29" spans="1:11" x14ac:dyDescent="0.55000000000000004">
      <c r="A29" t="s">
        <v>47</v>
      </c>
    </row>
    <row r="30" spans="1:11" x14ac:dyDescent="0.55000000000000004">
      <c r="B30" t="s">
        <v>48</v>
      </c>
      <c r="F30" s="16">
        <v>15</v>
      </c>
      <c r="G30" s="4" t="s">
        <v>22</v>
      </c>
      <c r="I30" t="s">
        <v>56</v>
      </c>
    </row>
    <row r="31" spans="1:11" x14ac:dyDescent="0.55000000000000004">
      <c r="B31" t="s">
        <v>49</v>
      </c>
      <c r="D31" t="s">
        <v>50</v>
      </c>
      <c r="F31" s="16">
        <f>$E$12/$D$25</f>
        <v>52.5</v>
      </c>
      <c r="G31" s="4" t="s">
        <v>22</v>
      </c>
      <c r="I31" t="s">
        <v>57</v>
      </c>
    </row>
    <row r="32" spans="1:11" x14ac:dyDescent="0.55000000000000004">
      <c r="B32" t="s">
        <v>51</v>
      </c>
      <c r="D32" t="s">
        <v>52</v>
      </c>
      <c r="F32" s="16">
        <f>($E$10-$E$11)/$D$26</f>
        <v>25</v>
      </c>
      <c r="G32" s="4" t="s">
        <v>22</v>
      </c>
      <c r="J32" t="s">
        <v>58</v>
      </c>
    </row>
    <row r="33" spans="1:14" x14ac:dyDescent="0.55000000000000004">
      <c r="B33" t="s">
        <v>53</v>
      </c>
      <c r="F33" s="16">
        <v>10</v>
      </c>
      <c r="G33" s="4" t="s">
        <v>22</v>
      </c>
    </row>
    <row r="34" spans="1:14" x14ac:dyDescent="0.55000000000000004">
      <c r="B34" t="s">
        <v>54</v>
      </c>
      <c r="F34" s="16">
        <f>$F$32</f>
        <v>25</v>
      </c>
      <c r="G34" s="4" t="s">
        <v>22</v>
      </c>
    </row>
    <row r="35" spans="1:14" x14ac:dyDescent="0.55000000000000004">
      <c r="B35" t="s">
        <v>55</v>
      </c>
      <c r="F35" s="16">
        <f>$F$31</f>
        <v>52.5</v>
      </c>
      <c r="G35" s="4" t="s">
        <v>22</v>
      </c>
    </row>
    <row r="36" spans="1:14" x14ac:dyDescent="0.55000000000000004">
      <c r="D36" t="s">
        <v>59</v>
      </c>
      <c r="E36" t="s">
        <v>61</v>
      </c>
      <c r="F36" s="16">
        <f>SUM(F30:F35)</f>
        <v>180</v>
      </c>
      <c r="G36" s="4" t="s">
        <v>22</v>
      </c>
    </row>
    <row r="38" spans="1:14" x14ac:dyDescent="0.55000000000000004">
      <c r="B38" t="s">
        <v>60</v>
      </c>
      <c r="D38" t="s">
        <v>62</v>
      </c>
      <c r="F38" s="16">
        <f>$E$9*3600/$E$8</f>
        <v>568.42105263157896</v>
      </c>
      <c r="G38" s="4" t="s">
        <v>22</v>
      </c>
      <c r="I38" t="s">
        <v>63</v>
      </c>
      <c r="J38" t="str">
        <f>IF(F38&gt;F36, "Aceptable", "Tiempo insuficiente")</f>
        <v>Aceptable</v>
      </c>
    </row>
    <row r="40" spans="1:14" x14ac:dyDescent="0.55000000000000004">
      <c r="A40" t="s">
        <v>67</v>
      </c>
      <c r="M40" t="s">
        <v>110</v>
      </c>
      <c r="N40" s="1"/>
    </row>
    <row r="41" spans="1:14" x14ac:dyDescent="0.55000000000000004">
      <c r="B41" t="s">
        <v>68</v>
      </c>
      <c r="C41">
        <f>$E$16</f>
        <v>19</v>
      </c>
      <c r="E41" t="s">
        <v>69</v>
      </c>
      <c r="G41" s="4">
        <f>$I$9*$I$10</f>
        <v>225</v>
      </c>
      <c r="H41" s="4" t="s">
        <v>70</v>
      </c>
      <c r="J41" t="s">
        <v>71</v>
      </c>
    </row>
    <row r="42" spans="1:14" x14ac:dyDescent="0.55000000000000004">
      <c r="B42" s="17" t="s">
        <v>72</v>
      </c>
      <c r="C42" s="25">
        <f>$E$9</f>
        <v>12</v>
      </c>
      <c r="E42" t="s">
        <v>73</v>
      </c>
      <c r="G42" s="15">
        <f>$E$8</f>
        <v>76</v>
      </c>
      <c r="H42" s="4" t="s">
        <v>74</v>
      </c>
    </row>
    <row r="43" spans="1:14" x14ac:dyDescent="0.55000000000000004">
      <c r="B43" t="s">
        <v>75</v>
      </c>
      <c r="D43" s="17" t="s">
        <v>76</v>
      </c>
      <c r="G43" s="15">
        <f>$C$41*$G$41*$G$42</f>
        <v>324900</v>
      </c>
      <c r="H43" s="4" t="s">
        <v>77</v>
      </c>
      <c r="I43" s="4"/>
      <c r="J43" t="s">
        <v>78</v>
      </c>
      <c r="K43" s="4" t="s">
        <v>79</v>
      </c>
      <c r="L43" s="4"/>
    </row>
    <row r="44" spans="1:14" x14ac:dyDescent="0.55000000000000004">
      <c r="B44" t="s">
        <v>80</v>
      </c>
      <c r="E44" s="7" t="s">
        <v>81</v>
      </c>
      <c r="F44" s="18">
        <v>3</v>
      </c>
      <c r="G44" s="4" t="s">
        <v>106</v>
      </c>
    </row>
    <row r="45" spans="1:14" x14ac:dyDescent="0.55000000000000004">
      <c r="B45" t="s">
        <v>82</v>
      </c>
      <c r="E45" s="4" t="str">
        <f>K43</f>
        <v>U5</v>
      </c>
      <c r="F45" s="4" t="str">
        <f>"Q"&amp;F44</f>
        <v>Q3</v>
      </c>
      <c r="G45" s="10" t="s">
        <v>83</v>
      </c>
      <c r="H45" s="4" t="s">
        <v>239</v>
      </c>
    </row>
    <row r="47" spans="1:14" x14ac:dyDescent="0.55000000000000004">
      <c r="A47" t="s">
        <v>84</v>
      </c>
    </row>
    <row r="48" spans="1:14" x14ac:dyDescent="0.55000000000000004">
      <c r="B48" t="s">
        <v>85</v>
      </c>
      <c r="E48" t="s">
        <v>86</v>
      </c>
      <c r="K48" s="4" t="s">
        <v>87</v>
      </c>
      <c r="L48" s="4">
        <v>0.5</v>
      </c>
    </row>
    <row r="49" spans="1:12" x14ac:dyDescent="0.55000000000000004">
      <c r="B49" t="s">
        <v>88</v>
      </c>
      <c r="E49" t="s">
        <v>89</v>
      </c>
      <c r="I49" s="4">
        <f>C41*G41*C42</f>
        <v>51300</v>
      </c>
      <c r="J49" s="4" t="s">
        <v>15</v>
      </c>
      <c r="L49" s="4"/>
    </row>
    <row r="50" spans="1:12" x14ac:dyDescent="0.55000000000000004">
      <c r="B50" t="s">
        <v>90</v>
      </c>
      <c r="G50" s="4">
        <f>L48*I49</f>
        <v>25650</v>
      </c>
      <c r="H50" s="4" t="s">
        <v>15</v>
      </c>
      <c r="J50" t="s">
        <v>91</v>
      </c>
      <c r="L50" s="4" t="s">
        <v>107</v>
      </c>
    </row>
    <row r="51" spans="1:12" x14ac:dyDescent="0.55000000000000004">
      <c r="B51" t="s">
        <v>92</v>
      </c>
      <c r="E51" s="7" t="s">
        <v>93</v>
      </c>
      <c r="F51" s="18">
        <v>3</v>
      </c>
      <c r="G51" s="4" t="s">
        <v>106</v>
      </c>
    </row>
    <row r="52" spans="1:12" x14ac:dyDescent="0.55000000000000004">
      <c r="B52" t="s">
        <v>94</v>
      </c>
      <c r="E52" s="4" t="str">
        <f>L50</f>
        <v>T8</v>
      </c>
      <c r="F52" s="4" t="str">
        <f>"L"&amp;F51</f>
        <v>L3</v>
      </c>
      <c r="G52" s="10" t="s">
        <v>83</v>
      </c>
      <c r="H52" s="4" t="s">
        <v>108</v>
      </c>
    </row>
    <row r="54" spans="1:12" x14ac:dyDescent="0.55000000000000004">
      <c r="A54" s="1" t="s">
        <v>95</v>
      </c>
      <c r="F54" s="4" t="str">
        <f>H45</f>
        <v>A6</v>
      </c>
      <c r="G54" s="10" t="s">
        <v>83</v>
      </c>
      <c r="H54" s="19" t="s">
        <v>96</v>
      </c>
      <c r="I54" s="20" t="s">
        <v>97</v>
      </c>
      <c r="J54" s="21">
        <v>1.1399999999999999</v>
      </c>
    </row>
    <row r="56" spans="1:12" x14ac:dyDescent="0.55000000000000004">
      <c r="A56" t="s">
        <v>98</v>
      </c>
      <c r="C56" s="4" t="s">
        <v>99</v>
      </c>
      <c r="D56" s="4" t="s">
        <v>97</v>
      </c>
      <c r="E56" s="4">
        <f>$D$25</f>
        <v>0.4</v>
      </c>
      <c r="F56" s="4" t="s">
        <v>43</v>
      </c>
    </row>
    <row r="57" spans="1:12" x14ac:dyDescent="0.55000000000000004">
      <c r="C57" t="s">
        <v>109</v>
      </c>
      <c r="G57" s="4" t="s">
        <v>100</v>
      </c>
      <c r="H57" s="4" t="s">
        <v>97</v>
      </c>
      <c r="I57" s="4">
        <v>0.3</v>
      </c>
    </row>
    <row r="59" spans="1:12" x14ac:dyDescent="0.55000000000000004">
      <c r="A59" s="1" t="s">
        <v>101</v>
      </c>
      <c r="D59" s="26" t="s">
        <v>103</v>
      </c>
      <c r="E59" s="4"/>
      <c r="F59" s="4">
        <f>1+I57*E56</f>
        <v>1.1200000000000001</v>
      </c>
      <c r="H59" s="22" t="s">
        <v>102</v>
      </c>
      <c r="I59" s="21">
        <f>MAX(F59,1.15)</f>
        <v>1.1499999999999999</v>
      </c>
    </row>
    <row r="61" spans="1:12" x14ac:dyDescent="0.55000000000000004">
      <c r="A61" s="1" t="s">
        <v>116</v>
      </c>
      <c r="C61" t="s">
        <v>111</v>
      </c>
      <c r="E61" s="10" t="s">
        <v>83</v>
      </c>
      <c r="F61" t="s">
        <v>112</v>
      </c>
      <c r="J61" s="28">
        <f>$G$17*SIN($J$20)/($J$54*$I$59)</f>
        <v>624.78364060491151</v>
      </c>
      <c r="K61" s="14" t="s">
        <v>29</v>
      </c>
    </row>
    <row r="62" spans="1:12" x14ac:dyDescent="0.55000000000000004">
      <c r="A62" s="1"/>
      <c r="E62" s="10"/>
      <c r="J62" s="28">
        <f>J61/9.806</f>
        <v>63.714423883837604</v>
      </c>
      <c r="K62" s="14" t="s">
        <v>39</v>
      </c>
    </row>
    <row r="64" spans="1:12" x14ac:dyDescent="0.55000000000000004">
      <c r="A64" s="1" t="s">
        <v>117</v>
      </c>
      <c r="C64" t="s">
        <v>118</v>
      </c>
      <c r="F64" t="s">
        <v>119</v>
      </c>
    </row>
    <row r="65" spans="1:10" x14ac:dyDescent="0.55000000000000004">
      <c r="C65" t="s">
        <v>121</v>
      </c>
      <c r="F65" s="2" t="s">
        <v>83</v>
      </c>
      <c r="G65" s="14" t="s">
        <v>120</v>
      </c>
      <c r="H65" s="28">
        <f>(((E22*E21)+((J62*E20)/2)))/E19</f>
        <v>71.552885141633212</v>
      </c>
      <c r="I65" s="14" t="s">
        <v>39</v>
      </c>
    </row>
    <row r="66" spans="1:10" x14ac:dyDescent="0.55000000000000004">
      <c r="H66" s="28">
        <f>H65*9.806</f>
        <v>701.64759169885519</v>
      </c>
      <c r="I66" s="14" t="s">
        <v>29</v>
      </c>
    </row>
    <row r="67" spans="1:10" x14ac:dyDescent="0.55000000000000004">
      <c r="G67" s="28"/>
    </row>
    <row r="68" spans="1:10" x14ac:dyDescent="0.55000000000000004">
      <c r="A68" s="1" t="s">
        <v>122</v>
      </c>
      <c r="C68" s="14" t="s">
        <v>123</v>
      </c>
      <c r="D68" t="s">
        <v>124</v>
      </c>
      <c r="G68" s="28">
        <f xml:space="preserve"> J54*(H65+E22+(I59*J62))</f>
        <v>427.29989877317291</v>
      </c>
      <c r="H68" s="14" t="s">
        <v>39</v>
      </c>
    </row>
    <row r="69" spans="1:10" x14ac:dyDescent="0.55000000000000004">
      <c r="A69" s="1" t="s">
        <v>125</v>
      </c>
      <c r="C69" s="14" t="s">
        <v>126</v>
      </c>
      <c r="D69" t="s">
        <v>127</v>
      </c>
      <c r="I69" s="28">
        <f>J54*((-H65*E19)+(E22*E21)+(I59*(J62*E20)))</f>
        <v>424.91149288131294</v>
      </c>
      <c r="J69" s="14" t="s">
        <v>128</v>
      </c>
    </row>
    <row r="70" spans="1:10" x14ac:dyDescent="0.55000000000000004">
      <c r="I70" s="28">
        <f>I69*9.806</f>
        <v>4166.682099194154</v>
      </c>
      <c r="J70" s="14" t="s">
        <v>129</v>
      </c>
    </row>
    <row r="72" spans="1:10" x14ac:dyDescent="0.55000000000000004">
      <c r="A72" s="1" t="s">
        <v>130</v>
      </c>
      <c r="B72" s="1"/>
      <c r="C72" s="1"/>
      <c r="D72" s="1"/>
      <c r="E72" s="1"/>
      <c r="F72" s="1"/>
    </row>
    <row r="73" spans="1:10" x14ac:dyDescent="0.55000000000000004">
      <c r="A73" s="1"/>
      <c r="B73" s="1" t="s">
        <v>131</v>
      </c>
      <c r="C73" s="1"/>
      <c r="D73" s="1"/>
      <c r="E73" s="1"/>
      <c r="F73" s="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B12" sqref="B12"/>
    </sheetView>
  </sheetViews>
  <sheetFormatPr baseColWidth="10" defaultRowHeight="14.4" x14ac:dyDescent="0.55000000000000004"/>
  <cols>
    <col min="2" max="2" width="17.3125" style="54" customWidth="1"/>
    <col min="3" max="3" width="23.20703125" customWidth="1"/>
  </cols>
  <sheetData>
    <row r="1" spans="1:3" ht="28.8" x14ac:dyDescent="0.55000000000000004">
      <c r="A1" s="52" t="s">
        <v>183</v>
      </c>
      <c r="B1" s="53" t="s">
        <v>184</v>
      </c>
      <c r="C1" s="52" t="s">
        <v>185</v>
      </c>
    </row>
    <row r="3" spans="1:3" x14ac:dyDescent="0.55000000000000004">
      <c r="A3" s="4">
        <v>1</v>
      </c>
      <c r="B3" s="55" t="s">
        <v>186</v>
      </c>
      <c r="C3" s="31" t="s">
        <v>187</v>
      </c>
    </row>
    <row r="4" spans="1:3" x14ac:dyDescent="0.55000000000000004">
      <c r="A4" s="4">
        <v>2</v>
      </c>
      <c r="B4" s="55" t="s">
        <v>188</v>
      </c>
      <c r="C4" s="31" t="s">
        <v>189</v>
      </c>
    </row>
    <row r="5" spans="1:3" x14ac:dyDescent="0.55000000000000004">
      <c r="A5" s="4">
        <v>3</v>
      </c>
      <c r="B5" s="55" t="s">
        <v>190</v>
      </c>
      <c r="C5" s="31" t="s">
        <v>191</v>
      </c>
    </row>
    <row r="6" spans="1:3" x14ac:dyDescent="0.55000000000000004">
      <c r="A6" s="4">
        <v>4</v>
      </c>
      <c r="B6" s="55" t="s">
        <v>192</v>
      </c>
      <c r="C6" s="31" t="s">
        <v>193</v>
      </c>
    </row>
    <row r="7" spans="1:3" x14ac:dyDescent="0.55000000000000004">
      <c r="A7" s="4">
        <v>5</v>
      </c>
      <c r="B7" s="55" t="s">
        <v>194</v>
      </c>
      <c r="C7" s="31" t="s">
        <v>195</v>
      </c>
    </row>
    <row r="8" spans="1:3" x14ac:dyDescent="0.55000000000000004">
      <c r="A8" s="4">
        <v>6</v>
      </c>
      <c r="B8" s="55" t="s">
        <v>196</v>
      </c>
      <c r="C8" s="31" t="s">
        <v>197</v>
      </c>
    </row>
    <row r="9" spans="1:3" x14ac:dyDescent="0.55000000000000004">
      <c r="A9" s="4">
        <v>7</v>
      </c>
      <c r="B9" s="55" t="s">
        <v>198</v>
      </c>
      <c r="C9" s="31" t="s">
        <v>199</v>
      </c>
    </row>
    <row r="10" spans="1:3" x14ac:dyDescent="0.55000000000000004">
      <c r="A10" s="4">
        <v>8</v>
      </c>
      <c r="B10" s="55" t="s">
        <v>200</v>
      </c>
      <c r="C10" s="31" t="s">
        <v>201</v>
      </c>
    </row>
    <row r="11" spans="1:3" x14ac:dyDescent="0.55000000000000004">
      <c r="A11" s="4">
        <v>9</v>
      </c>
      <c r="B11" s="55" t="s">
        <v>202</v>
      </c>
      <c r="C11" s="31" t="s">
        <v>203</v>
      </c>
    </row>
    <row r="12" spans="1:3" x14ac:dyDescent="0.55000000000000004">
      <c r="A12" s="4">
        <v>10</v>
      </c>
      <c r="B12" s="55" t="s">
        <v>225</v>
      </c>
      <c r="C12" s="31" t="s">
        <v>204</v>
      </c>
    </row>
    <row r="13" spans="1:3" x14ac:dyDescent="0.55000000000000004">
      <c r="A13" s="4">
        <v>11</v>
      </c>
      <c r="B13" s="55" t="s">
        <v>205</v>
      </c>
      <c r="C13" s="31" t="s">
        <v>206</v>
      </c>
    </row>
    <row r="14" spans="1:3" x14ac:dyDescent="0.55000000000000004">
      <c r="A14" s="4">
        <v>12</v>
      </c>
      <c r="B14" s="55" t="s">
        <v>207</v>
      </c>
      <c r="C14" s="31" t="s">
        <v>208</v>
      </c>
    </row>
    <row r="15" spans="1:3" x14ac:dyDescent="0.55000000000000004">
      <c r="A15" s="4">
        <v>13</v>
      </c>
      <c r="B15" s="55" t="s">
        <v>209</v>
      </c>
      <c r="C15" s="31" t="s">
        <v>210</v>
      </c>
    </row>
    <row r="16" spans="1:3" x14ac:dyDescent="0.55000000000000004">
      <c r="A16" s="4">
        <v>14</v>
      </c>
      <c r="B16" s="55" t="s">
        <v>211</v>
      </c>
      <c r="C16" s="31" t="s">
        <v>212</v>
      </c>
    </row>
    <row r="17" spans="1:3" x14ac:dyDescent="0.55000000000000004">
      <c r="A17" s="4">
        <v>15</v>
      </c>
      <c r="B17" s="55" t="s">
        <v>213</v>
      </c>
      <c r="C17" s="31" t="s">
        <v>214</v>
      </c>
    </row>
    <row r="18" spans="1:3" x14ac:dyDescent="0.55000000000000004">
      <c r="A18" s="4">
        <v>16</v>
      </c>
      <c r="B18" s="55" t="s">
        <v>215</v>
      </c>
      <c r="C18" s="31" t="s">
        <v>216</v>
      </c>
    </row>
    <row r="19" spans="1:3" x14ac:dyDescent="0.55000000000000004">
      <c r="A19" s="4">
        <v>17</v>
      </c>
      <c r="B19" s="55" t="s">
        <v>217</v>
      </c>
      <c r="C19" s="31" t="s">
        <v>218</v>
      </c>
    </row>
    <row r="20" spans="1:3" x14ac:dyDescent="0.55000000000000004">
      <c r="A20" s="4">
        <v>18</v>
      </c>
      <c r="B20" s="55" t="s">
        <v>219</v>
      </c>
      <c r="C20" s="31" t="s">
        <v>220</v>
      </c>
    </row>
    <row r="21" spans="1:3" x14ac:dyDescent="0.55000000000000004">
      <c r="A21" s="4">
        <v>19</v>
      </c>
      <c r="B21" s="55" t="s">
        <v>221</v>
      </c>
      <c r="C21" s="31" t="s">
        <v>222</v>
      </c>
    </row>
    <row r="22" spans="1:3" x14ac:dyDescent="0.55000000000000004">
      <c r="A22" s="4">
        <v>20</v>
      </c>
      <c r="B22" s="55" t="s">
        <v>223</v>
      </c>
      <c r="C22" s="31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Formulas</vt:lpstr>
      <vt:lpstr>Ejemplo</vt:lpstr>
      <vt:lpstr>Original</vt:lpstr>
      <vt:lpstr>Listado</vt:lpstr>
    </vt:vector>
  </TitlesOfParts>
  <Company>Universidad de Cadiz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Antonio</cp:lastModifiedBy>
  <dcterms:created xsi:type="dcterms:W3CDTF">2020-06-12T21:16:55Z</dcterms:created>
  <dcterms:modified xsi:type="dcterms:W3CDTF">2023-08-21T21:36:22Z</dcterms:modified>
</cp:coreProperties>
</file>