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88" activeTab="2"/>
  </bookViews>
  <sheets>
    <sheet name="Formulas" sheetId="11" r:id="rId1"/>
    <sheet name="Ejemplo" sheetId="13" r:id="rId2"/>
    <sheet name="Original" sheetId="12" r:id="rId3"/>
    <sheet name="Tabla c1" sheetId="14" r:id="rId4"/>
    <sheet name="Listado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13" l="1"/>
  <c r="G60" i="13"/>
  <c r="H59" i="13"/>
  <c r="M55" i="13"/>
  <c r="J55" i="13"/>
  <c r="J54" i="13"/>
  <c r="L50" i="13"/>
  <c r="H48" i="13"/>
  <c r="G46" i="13"/>
  <c r="I41" i="13"/>
  <c r="M40" i="13"/>
  <c r="G40" i="13"/>
  <c r="M38" i="13"/>
  <c r="J38" i="13"/>
  <c r="J37" i="13"/>
  <c r="I31" i="13"/>
  <c r="I30" i="13"/>
  <c r="I29" i="13"/>
  <c r="I28" i="13"/>
  <c r="I27" i="13"/>
  <c r="I26" i="13"/>
  <c r="I25" i="13"/>
  <c r="M10" i="13"/>
  <c r="M9" i="13"/>
  <c r="M8" i="13"/>
  <c r="D31" i="13"/>
  <c r="D30" i="13"/>
  <c r="D29" i="13"/>
  <c r="M7" i="13" s="1"/>
  <c r="D28" i="13"/>
  <c r="D27" i="13"/>
  <c r="D26" i="13"/>
  <c r="D4" i="13"/>
  <c r="H57" i="13" l="1"/>
  <c r="G50" i="13"/>
  <c r="H45" i="13"/>
  <c r="H44" i="13"/>
  <c r="H43" i="13"/>
  <c r="H42" i="13"/>
  <c r="D40" i="13"/>
  <c r="B3" i="12"/>
  <c r="C31" i="12" l="1"/>
  <c r="H33" i="12" s="1"/>
  <c r="F47" i="12" s="1"/>
  <c r="C30" i="12"/>
  <c r="H29" i="12" s="1"/>
  <c r="C29" i="12"/>
  <c r="L7" i="12" s="1"/>
  <c r="C28" i="12"/>
  <c r="H31" i="12" s="1"/>
  <c r="G43" i="12" s="1"/>
  <c r="C27" i="12"/>
  <c r="H27" i="12" s="1"/>
  <c r="C26" i="12"/>
  <c r="L9" i="12" s="1"/>
  <c r="G46" i="12" s="1"/>
  <c r="C41" i="12" l="1"/>
  <c r="F41" i="12"/>
  <c r="L41" i="12" s="1"/>
  <c r="H28" i="12"/>
  <c r="H30" i="12"/>
  <c r="L8" i="12"/>
  <c r="H32" i="12"/>
  <c r="G44" i="12" s="1"/>
  <c r="L6" i="12"/>
  <c r="G45" i="12" l="1"/>
  <c r="G58" i="12"/>
  <c r="H42" i="12"/>
  <c r="I38" i="12"/>
  <c r="I39" i="12" s="1"/>
  <c r="L39" i="12" s="1"/>
  <c r="I55" i="12"/>
  <c r="I56" i="12" s="1"/>
  <c r="L56" i="12" s="1"/>
  <c r="G61" i="12" l="1"/>
  <c r="K63" i="12" s="1"/>
  <c r="G49" i="12"/>
  <c r="K51" i="12" s="1"/>
  <c r="F63" i="12" l="1"/>
  <c r="F51" i="12"/>
</calcChain>
</file>

<file path=xl/sharedStrings.xml><?xml version="1.0" encoding="utf-8"?>
<sst xmlns="http://schemas.openxmlformats.org/spreadsheetml/2006/main" count="582" uniqueCount="217">
  <si>
    <t>ING. TRANSPORTE</t>
  </si>
  <si>
    <t>DNI =</t>
  </si>
  <si>
    <t>mm</t>
  </si>
  <si>
    <t>m</t>
  </si>
  <si>
    <t>C =</t>
  </si>
  <si>
    <t>H =</t>
  </si>
  <si>
    <t>Mpa</t>
  </si>
  <si>
    <t>N</t>
  </si>
  <si>
    <t>CÁLCULO DE RUEDAS</t>
  </si>
  <si>
    <t>La grúa pórtico sobre carriles metálicos de la figura tiene un carretón con dos ruedas por cada pata.</t>
  </si>
  <si>
    <t>El gancho es simple, según DIN 15401.</t>
  </si>
  <si>
    <t>Otros datos:</t>
  </si>
  <si>
    <t>L =</t>
  </si>
  <si>
    <t>Velocidad de marcha</t>
  </si>
  <si>
    <t>V =</t>
  </si>
  <si>
    <t>m/min</t>
  </si>
  <si>
    <t>Luz</t>
  </si>
  <si>
    <t>L = 8 + C</t>
  </si>
  <si>
    <t>Carga útil</t>
  </si>
  <si>
    <t>t</t>
  </si>
  <si>
    <t>Peso carro</t>
  </si>
  <si>
    <t>Peso grúa</t>
  </si>
  <si>
    <t>Resistencia material rueda</t>
  </si>
  <si>
    <t>Resistencia carril</t>
  </si>
  <si>
    <t>Duración funcionamiento traslación:</t>
  </si>
  <si>
    <t>%</t>
  </si>
  <si>
    <t>Se pide:</t>
  </si>
  <si>
    <t>Suponiendo que no haya que realizar reformas que supongan más carga sobre las ruedas,</t>
  </si>
  <si>
    <t xml:space="preserve"> ¿podrán las ruedas actuales con las nuevas prestaciones? En caso contrario, ¿qué cambios haría?</t>
  </si>
  <si>
    <t>Calcule la carga sobre cada rueda, R, la carga admisible Radm, e indique si la rueda instalada es aceptable.</t>
  </si>
  <si>
    <t>E =</t>
  </si>
  <si>
    <t>G =</t>
  </si>
  <si>
    <t>Qu =</t>
  </si>
  <si>
    <t>Qc =</t>
  </si>
  <si>
    <t>Qg =</t>
  </si>
  <si>
    <t>Resist. Rueda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</si>
  <si>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rueda = </t>
    </r>
  </si>
  <si>
    <t>Resist. Carril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</si>
  <si>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carril = </t>
    </r>
  </si>
  <si>
    <t>Duración func.</t>
  </si>
  <si>
    <t>Selección gancho:</t>
  </si>
  <si>
    <t xml:space="preserve">Nº </t>
  </si>
  <si>
    <t>Qes =</t>
  </si>
  <si>
    <t>kg</t>
  </si>
  <si>
    <t>Las ruedas cargan a tope cuando el carro está descentrado al máximo.</t>
  </si>
  <si>
    <t>Fuerza lateral:</t>
  </si>
  <si>
    <t>Carga máxima sobre cada rueda:</t>
  </si>
  <si>
    <t>Flat / 4 =</t>
  </si>
  <si>
    <t>=</t>
  </si>
  <si>
    <t>Carga característica de la rueda:</t>
  </si>
  <si>
    <t>Ro =</t>
  </si>
  <si>
    <t>5,6 x d1 x (k - 2r1) =</t>
  </si>
  <si>
    <t>d1 =</t>
  </si>
  <si>
    <t xml:space="preserve">k = </t>
  </si>
  <si>
    <t>r1 =</t>
  </si>
  <si>
    <t>k - 2r1 =</t>
  </si>
  <si>
    <t>Rmax =</t>
  </si>
  <si>
    <t>Carga admisible</t>
  </si>
  <si>
    <t>Coeficiente del material, c1</t>
  </si>
  <si>
    <t>&lt; 590</t>
  </si>
  <si>
    <t>&lt; 690</t>
  </si>
  <si>
    <t>Padm =</t>
  </si>
  <si>
    <t>c1 =</t>
  </si>
  <si>
    <t>Coef. Velocidad, c2</t>
  </si>
  <si>
    <t>c2 =</t>
  </si>
  <si>
    <t>Coef. Vida, c3</t>
  </si>
  <si>
    <t>&gt;</t>
  </si>
  <si>
    <t>c3 =</t>
  </si>
  <si>
    <t>Radm =</t>
  </si>
  <si>
    <t>Ro c1 c2 c3 =</t>
  </si>
  <si>
    <t>¿Rmax &lt; Radm?</t>
  </si>
  <si>
    <t>n = Radm/Rmax =</t>
  </si>
  <si>
    <t>INCREMENTO PRESTACIONES</t>
  </si>
  <si>
    <t>Despreciamos cambio de gancho</t>
  </si>
  <si>
    <t>Nueva fuerza lat.:</t>
  </si>
  <si>
    <t>Nueva carga máx. sobre cada rueda:</t>
  </si>
  <si>
    <t>R'max =</t>
  </si>
  <si>
    <t>F'lat / 4 =</t>
  </si>
  <si>
    <t>Nuevo coef. Vel., c'2</t>
  </si>
  <si>
    <t>V' =</t>
  </si>
  <si>
    <t>c'2 =</t>
  </si>
  <si>
    <t>Nueva carga adm.</t>
  </si>
  <si>
    <t>R'adm =</t>
  </si>
  <si>
    <t>Ro c1 c'2 c3 =</t>
  </si>
  <si>
    <t>n' = R'adm/R'max =</t>
  </si>
  <si>
    <t>Problema 4</t>
  </si>
  <si>
    <t>Alumno:</t>
  </si>
  <si>
    <t>Fecha:</t>
  </si>
  <si>
    <t>Nota:</t>
  </si>
  <si>
    <t>Las ruedas tienen diámetro d1 y se mueven sobre carril Burbach AX5.</t>
  </si>
  <si>
    <t>F =</t>
  </si>
  <si>
    <t>El gancho puede aproximarse a los laterales hasta una distancia a del eje del carril.</t>
  </si>
  <si>
    <t>La grúa se traslada a velocidad V</t>
  </si>
  <si>
    <t>A =</t>
  </si>
  <si>
    <t>Qu = 16 + (2 x E)</t>
  </si>
  <si>
    <t>Qc = 1,6 + (0,1 x G)</t>
  </si>
  <si>
    <t>Qg = 20 + (1,5 x E)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</si>
  <si>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rueda = 500 + (20 x E)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</si>
  <si>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carril = 600 + (20 x E)</t>
    </r>
  </si>
  <si>
    <t>20 + (6 x H)</t>
  </si>
  <si>
    <t xml:space="preserve">Se desea aumentar las prestaciones de la grúa, subiendo la carga útil 15 toneladas y pasando la velocidad de traslación a 160 m/min. </t>
  </si>
  <si>
    <t>+ 15 t en Qu</t>
  </si>
  <si>
    <t>V a 160 m/min</t>
  </si>
  <si>
    <t>d1 = 400 + [100 x int(F/5)] =</t>
  </si>
  <si>
    <t>X = 5 + int(F/4) =</t>
  </si>
  <si>
    <t>a = 1 + (0,1 x F) =</t>
  </si>
  <si>
    <t>V = 10 + (2 x a) =</t>
  </si>
  <si>
    <t>Flat = Qg/2 + (Qc + Qes + Qu) x (L-a)/L =</t>
  </si>
  <si>
    <t>F'lat = Qg/2 + (Qc + Qes + (Qu+15)) x (L-a)/L =</t>
  </si>
  <si>
    <t>TAREA 6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</si>
  <si>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</si>
  <si>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</si>
  <si>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</si>
  <si>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</si>
  <si>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</si>
  <si>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</si>
  <si>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</si>
  <si>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</si>
  <si>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</si>
  <si>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</si>
  <si>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</si>
  <si>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</si>
  <si>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</si>
  <si>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=I31</t>
  </si>
  <si>
    <t>Nº orden</t>
  </si>
  <si>
    <t>NI
Núm. Identificación</t>
  </si>
  <si>
    <t>Nombre</t>
  </si>
  <si>
    <t>76588960l</t>
  </si>
  <si>
    <t>Amando Sánchez, Rodrigo</t>
  </si>
  <si>
    <t>46346965q</t>
  </si>
  <si>
    <t>Aguilar Campo, Jaime</t>
  </si>
  <si>
    <t>76688699x</t>
  </si>
  <si>
    <t>Bardo Jiménez, Noelia</t>
  </si>
  <si>
    <t>75912600r</t>
  </si>
  <si>
    <t>Bringas Temido, Ramón</t>
  </si>
  <si>
    <t>67834322a</t>
  </si>
  <si>
    <t>Cáceres Martos, Adrián</t>
  </si>
  <si>
    <t>25432001b</t>
  </si>
  <si>
    <t>Charco Profundo, Ana</t>
  </si>
  <si>
    <t>50297996h</t>
  </si>
  <si>
    <t>Delgado Santos, Manuel</t>
  </si>
  <si>
    <t>71433902u</t>
  </si>
  <si>
    <t>Estébanez Sencillo, Ricardo</t>
  </si>
  <si>
    <t>15954881f</t>
  </si>
  <si>
    <t>Fuertes Cabeza, Dolores</t>
  </si>
  <si>
    <t>77244904k</t>
  </si>
  <si>
    <t>García Ramírez, Fernando</t>
  </si>
  <si>
    <t>64219067m</t>
  </si>
  <si>
    <t>González Villa, Luis</t>
  </si>
  <si>
    <t>74998930p</t>
  </si>
  <si>
    <t>Gutiérrez Alba, Manuela</t>
  </si>
  <si>
    <t>51000222n</t>
  </si>
  <si>
    <t>Hernán Porres, Francisco</t>
  </si>
  <si>
    <t>Huertas Luna, Antonio</t>
  </si>
  <si>
    <t>35428197f</t>
  </si>
  <si>
    <t>Indiano Blanco, Jesús</t>
  </si>
  <si>
    <t>32912007r</t>
  </si>
  <si>
    <t>Jaén Romero, Carlos</t>
  </si>
  <si>
    <t>77668012s</t>
  </si>
  <si>
    <t>López Algeciras, Sandra</t>
  </si>
  <si>
    <t>36072467l</t>
  </si>
  <si>
    <t>Muñoz García, Santiago</t>
  </si>
  <si>
    <t>74559860e</t>
  </si>
  <si>
    <t>Navarro Limón, María</t>
  </si>
  <si>
    <t>44555000w</t>
  </si>
  <si>
    <t>Perea Rosales, Carmen</t>
  </si>
  <si>
    <t>43821369v</t>
  </si>
  <si>
    <t>=BUSCARV($C$25;Listado!B3:C22;2;FALSO)</t>
  </si>
  <si>
    <t>NI =</t>
  </si>
  <si>
    <t>=EXTRAE($D$25;1;1)</t>
  </si>
  <si>
    <t>=EXTRAE($D$25;3;1)</t>
  </si>
  <si>
    <t>=EXTRAE($D$25;5;1)</t>
  </si>
  <si>
    <t>=EXTRAE($D$25;6;1)</t>
  </si>
  <si>
    <t>=EXTRAE($D$25;7;1)</t>
  </si>
  <si>
    <t>=EXTRAE($D$25;8;1)</t>
  </si>
  <si>
    <t>= 400 + (100 * ENTERO($D$29/5))</t>
  </si>
  <si>
    <t>=5+ENTERO($D$29/4)</t>
  </si>
  <si>
    <t>=1+(0,1*$D$29)</t>
  </si>
  <si>
    <t>=10+(2*$D$26)</t>
  </si>
  <si>
    <t>V = 10 + (2 x A) =</t>
  </si>
  <si>
    <t>= 8 + D27</t>
  </si>
  <si>
    <t>=16+(2*$D$28)</t>
  </si>
  <si>
    <t>=1,6+(0,1*$D$30)</t>
  </si>
  <si>
    <t>=20+(1,5*$D$28)</t>
  </si>
  <si>
    <t>=500 + (20 * $D$28)</t>
  </si>
  <si>
    <t>=600 + (20 *$D$28)</t>
  </si>
  <si>
    <t>=20+(6*$D$31)</t>
  </si>
  <si>
    <t>= (I28/2) + (I27 + I34/1000 + I26) * (I25 - M9)/I25</t>
  </si>
  <si>
    <t>=J37/4</t>
  </si>
  <si>
    <t>=J38 * 9806</t>
  </si>
  <si>
    <t>="Carril A "&amp;M8&amp;"5"</t>
  </si>
  <si>
    <t>=M8&amp;5</t>
  </si>
  <si>
    <t>= G40 - 2*J40</t>
  </si>
  <si>
    <t>= 5,6*M7*M40</t>
  </si>
  <si>
    <t>=I29</t>
  </si>
  <si>
    <t>=I30</t>
  </si>
  <si>
    <t>=M7</t>
  </si>
  <si>
    <t>=M10</t>
  </si>
  <si>
    <t>=I41*L43*L45*L46</t>
  </si>
  <si>
    <t>=SI(M38&lt;H48;"Sí, ADMISIBLE";"No, NO ADMISIBLE")</t>
  </si>
  <si>
    <t>=H48/M38</t>
  </si>
  <si>
    <t>= (I28/2) + (I27 + I34/1000 + (I26+15)) * (I25 - M9)/I25</t>
  </si>
  <si>
    <t>=J54/4</t>
  </si>
  <si>
    <t>=J55 * 9806</t>
  </si>
  <si>
    <t>=I41*L43*L58*L46</t>
  </si>
  <si>
    <t>=SI(M55&lt;H59;"Sí, ADMISIBLE";"No, NO ADMISIBLE")</t>
  </si>
  <si>
    <t>=H59/M55</t>
  </si>
  <si>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330</t>
    </r>
  </si>
  <si>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740</t>
    </r>
  </si>
  <si>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690</t>
    </r>
  </si>
  <si>
    <r>
      <t>c</t>
    </r>
    <r>
      <rPr>
        <sz val="8"/>
        <color theme="1"/>
        <rFont val="Calibri"/>
        <family val="2"/>
        <scheme val="minor"/>
      </rPr>
      <t>1</t>
    </r>
  </si>
  <si>
    <t>Riel</t>
  </si>
  <si>
    <t>Rueda</t>
  </si>
  <si>
    <t>MPa</t>
  </si>
  <si>
    <t>Resistencia a la rotura</t>
  </si>
  <si>
    <t>Padm
MPa</t>
  </si>
  <si>
    <t>Coeficiente del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</si>
</sst>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E+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right"/>
    </xf>
    <xf numFmtId="165" fontId="0" fillId="0" borderId="0" xfId="0" applyNumberFormat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3" xfId="0" applyBorder="1"/>
    <xf numFmtId="165" fontId="0" fillId="0" borderId="13" xfId="0" applyNumberFormat="1" applyBorder="1" applyAlignment="1">
      <alignment horizontal="center"/>
    </xf>
    <xf numFmtId="0" fontId="1" fillId="0" borderId="5" xfId="0" applyFont="1" applyBorder="1"/>
    <xf numFmtId="165" fontId="1" fillId="0" borderId="6" xfId="0" applyNumberFormat="1" applyFont="1" applyBorder="1"/>
    <xf numFmtId="165" fontId="1" fillId="0" borderId="7" xfId="0" applyNumberFormat="1" applyFont="1" applyBorder="1" applyAlignment="1">
      <alignment horizontal="center"/>
    </xf>
    <xf numFmtId="0" fontId="0" fillId="0" borderId="0" xfId="0" quotePrefix="1"/>
    <xf numFmtId="2" fontId="1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4" fillId="2" borderId="15" xfId="0" quotePrefix="1" applyFont="1" applyFill="1" applyBorder="1" applyAlignment="1">
      <alignment horizontal="center" vertical="center" wrapText="1"/>
    </xf>
    <xf numFmtId="164" fontId="4" fillId="2" borderId="15" xfId="0" quotePrefix="1" applyNumberFormat="1" applyFont="1" applyFill="1" applyBorder="1" applyAlignment="1">
      <alignment horizontal="center" vertical="center" wrapText="1"/>
    </xf>
    <xf numFmtId="164" fontId="4" fillId="2" borderId="15" xfId="0" quotePrefix="1" applyNumberFormat="1" applyFont="1" applyFill="1" applyBorder="1" applyAlignment="1">
      <alignment horizontal="center"/>
    </xf>
    <xf numFmtId="165" fontId="4" fillId="2" borderId="15" xfId="0" quotePrefix="1" applyNumberFormat="1" applyFont="1" applyFill="1" applyBorder="1" applyAlignment="1">
      <alignment horizontal="center"/>
    </xf>
    <xf numFmtId="0" fontId="4" fillId="2" borderId="15" xfId="0" quotePrefix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2" fontId="4" fillId="2" borderId="15" xfId="0" quotePrefix="1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right" vertical="center"/>
    </xf>
    <xf numFmtId="0" fontId="4" fillId="2" borderId="15" xfId="0" quotePrefix="1" applyFont="1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4" xfId="0" applyFont="1" applyBorder="1"/>
    <xf numFmtId="0" fontId="0" fillId="0" borderId="0" xfId="0" applyFont="1" applyAlignment="1">
      <alignment horizontal="right"/>
    </xf>
    <xf numFmtId="0" fontId="0" fillId="0" borderId="12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2" borderId="0" xfId="0" quotePrefix="1" applyFont="1" applyFill="1"/>
    <xf numFmtId="0" fontId="0" fillId="2" borderId="0" xfId="0" applyFill="1"/>
    <xf numFmtId="0" fontId="0" fillId="3" borderId="0" xfId="0" applyFill="1"/>
    <xf numFmtId="3" fontId="0" fillId="3" borderId="0" xfId="0" applyNumberFormat="1" applyFill="1"/>
    <xf numFmtId="3" fontId="0" fillId="3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4" fillId="2" borderId="15" xfId="0" quotePrefix="1" applyFont="1" applyFill="1" applyBorder="1" applyAlignment="1">
      <alignment wrapText="1"/>
    </xf>
    <xf numFmtId="0" fontId="4" fillId="2" borderId="15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4" fillId="2" borderId="15" xfId="0" quotePrefix="1" applyNumberFormat="1" applyFont="1" applyFill="1" applyBorder="1" applyAlignment="1">
      <alignment horizontal="center" vertical="center"/>
    </xf>
    <xf numFmtId="165" fontId="0" fillId="3" borderId="0" xfId="0" applyNumberFormat="1" applyFill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0" fontId="7" fillId="0" borderId="6" xfId="0" quotePrefix="1" applyFont="1" applyBorder="1"/>
    <xf numFmtId="0" fontId="7" fillId="0" borderId="5" xfId="0" applyFont="1" applyBorder="1"/>
    <xf numFmtId="0" fontId="1" fillId="2" borderId="6" xfId="0" applyFont="1" applyFill="1" applyBorder="1"/>
    <xf numFmtId="0" fontId="0" fillId="3" borderId="0" xfId="0" quotePrefix="1" applyFill="1"/>
    <xf numFmtId="0" fontId="0" fillId="0" borderId="18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6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533400</xdr:colOff>
      <xdr:row>1</xdr:row>
      <xdr:rowOff>28574</xdr:rowOff>
    </xdr:from>
    <xdr:to>
      <xdr:col>27</xdr:col>
      <xdr:colOff>200026</xdr:colOff>
      <xdr:row>8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6C87FB-4A7D-4F9C-9D93-87DB4B83E25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20925" y="219074"/>
          <a:ext cx="2905125" cy="1533525"/>
        </a:xfrm>
        <a:prstGeom prst="rect">
          <a:avLst/>
        </a:prstGeom>
      </xdr:spPr>
    </xdr:pic>
    <xdr:clientData/>
  </xdr:twoCellAnchor>
  <xdr:twoCellAnchor editAs="oneCell">
    <xdr:from>
      <xdr:col>29</xdr:col>
      <xdr:colOff>81916</xdr:colOff>
      <xdr:row>1</xdr:row>
      <xdr:rowOff>55245</xdr:rowOff>
    </xdr:from>
    <xdr:to>
      <xdr:col>40</xdr:col>
      <xdr:colOff>600075</xdr:colOff>
      <xdr:row>16</xdr:row>
      <xdr:rowOff>136169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A5E3E3-C698-47FF-8AE8-5593EEDD5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03341" y="245745"/>
          <a:ext cx="7642859" cy="3233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251460</xdr:colOff>
      <xdr:row>32</xdr:row>
      <xdr:rowOff>43815</xdr:rowOff>
    </xdr:from>
    <xdr:to>
      <xdr:col>19</xdr:col>
      <xdr:colOff>607693</xdr:colOff>
      <xdr:row>39</xdr:row>
      <xdr:rowOff>211722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113512-A0F8-47FD-8DEE-0BFE531F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7385" y="6282690"/>
          <a:ext cx="3594734" cy="1672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17145</xdr:colOff>
      <xdr:row>42</xdr:row>
      <xdr:rowOff>111126</xdr:rowOff>
    </xdr:from>
    <xdr:to>
      <xdr:col>22</xdr:col>
      <xdr:colOff>429475</xdr:colOff>
      <xdr:row>58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4B0E520-5C2C-43BE-BB0E-92DDED2BB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545" y="8480426"/>
          <a:ext cx="5593931" cy="3013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390525</xdr:colOff>
      <xdr:row>32</xdr:row>
      <xdr:rowOff>13336</xdr:rowOff>
    </xdr:from>
    <xdr:to>
      <xdr:col>27</xdr:col>
      <xdr:colOff>628650</xdr:colOff>
      <xdr:row>40</xdr:row>
      <xdr:rowOff>77285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F34CCA-2419-4D07-9B3E-810B4161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252211"/>
          <a:ext cx="3476624" cy="1873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44</xdr:row>
      <xdr:rowOff>149860</xdr:rowOff>
    </xdr:from>
    <xdr:to>
      <xdr:col>27</xdr:col>
      <xdr:colOff>558800</xdr:colOff>
      <xdr:row>54</xdr:row>
      <xdr:rowOff>85841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D635575-32A2-49F9-A411-131BA31B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25700" y="8887460"/>
          <a:ext cx="3149600" cy="1967981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85726</xdr:colOff>
      <xdr:row>0</xdr:row>
      <xdr:rowOff>123825</xdr:rowOff>
    </xdr:from>
    <xdr:to>
      <xdr:col>21</xdr:col>
      <xdr:colOff>561976</xdr:colOff>
      <xdr:row>19</xdr:row>
      <xdr:rowOff>180291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91651" y="123825"/>
          <a:ext cx="5010150" cy="3971241"/>
        </a:xfrm>
        <a:prstGeom prst="rect">
          <a:avLst/>
        </a:prstGeom>
      </xdr:spPr>
    </xdr:pic>
    <xdr:clientData/>
  </xdr:twoCellAnchor>
  <xdr:twoCellAnchor editAs="oneCell">
    <xdr:from>
      <xdr:col>14</xdr:col>
      <xdr:colOff>552450</xdr:colOff>
      <xdr:row>20</xdr:row>
      <xdr:rowOff>142876</xdr:rowOff>
    </xdr:from>
    <xdr:to>
      <xdr:col>21</xdr:col>
      <xdr:colOff>523875</xdr:colOff>
      <xdr:row>29</xdr:row>
      <xdr:rowOff>162430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58375" y="4248151"/>
          <a:ext cx="4505325" cy="16007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533400</xdr:colOff>
      <xdr:row>1</xdr:row>
      <xdr:rowOff>28574</xdr:rowOff>
    </xdr:from>
    <xdr:to>
      <xdr:col>27</xdr:col>
      <xdr:colOff>200025</xdr:colOff>
      <xdr:row>8</xdr:row>
      <xdr:rowOff>28574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D6C87FB-4A7D-4F9C-9D93-87DB4B83E25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53310" y="215264"/>
          <a:ext cx="2924175" cy="1543050"/>
        </a:xfrm>
        <a:prstGeom prst="rect">
          <a:avLst/>
        </a:prstGeom>
      </xdr:spPr>
    </xdr:pic>
    <xdr:clientData/>
  </xdr:twoCellAnchor>
  <xdr:twoCellAnchor editAs="oneCell">
    <xdr:from>
      <xdr:col>29</xdr:col>
      <xdr:colOff>81916</xdr:colOff>
      <xdr:row>1</xdr:row>
      <xdr:rowOff>55245</xdr:rowOff>
    </xdr:from>
    <xdr:to>
      <xdr:col>40</xdr:col>
      <xdr:colOff>600075</xdr:colOff>
      <xdr:row>16</xdr:row>
      <xdr:rowOff>136169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8A5E3E3-C698-47FF-8AE8-5593EEDD5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2396" y="241935"/>
          <a:ext cx="7684769" cy="3247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251460</xdr:colOff>
      <xdr:row>32</xdr:row>
      <xdr:rowOff>43815</xdr:rowOff>
    </xdr:from>
    <xdr:to>
      <xdr:col>19</xdr:col>
      <xdr:colOff>607694</xdr:colOff>
      <xdr:row>41</xdr:row>
      <xdr:rowOff>108852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7113512-A0F8-47FD-8DEE-0BFE531F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9290" y="6299835"/>
          <a:ext cx="3613784" cy="1680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17145</xdr:colOff>
      <xdr:row>42</xdr:row>
      <xdr:rowOff>111126</xdr:rowOff>
    </xdr:from>
    <xdr:to>
      <xdr:col>22</xdr:col>
      <xdr:colOff>429476</xdr:colOff>
      <xdr:row>59</xdr:row>
      <xdr:rowOff>114300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4B0E520-5C2C-43BE-BB0E-92DDED2BB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8554086"/>
          <a:ext cx="5624411" cy="301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390525</xdr:colOff>
      <xdr:row>32</xdr:row>
      <xdr:rowOff>13336</xdr:rowOff>
    </xdr:from>
    <xdr:to>
      <xdr:col>27</xdr:col>
      <xdr:colOff>628649</xdr:colOff>
      <xdr:row>42</xdr:row>
      <xdr:rowOff>92525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34CCA-2419-4D07-9B3E-810B4161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0435" y="6269356"/>
          <a:ext cx="3495674" cy="1881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533401</xdr:colOff>
      <xdr:row>44</xdr:row>
      <xdr:rowOff>149861</xdr:rowOff>
    </xdr:from>
    <xdr:to>
      <xdr:col>27</xdr:col>
      <xdr:colOff>596900</xdr:colOff>
      <xdr:row>56</xdr:row>
      <xdr:rowOff>126127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D635575-32A2-49F9-A411-131BA31B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24101" y="8506461"/>
          <a:ext cx="3301999" cy="2071766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85726</xdr:colOff>
      <xdr:row>0</xdr:row>
      <xdr:rowOff>123825</xdr:rowOff>
    </xdr:from>
    <xdr:to>
      <xdr:col>21</xdr:col>
      <xdr:colOff>561976</xdr:colOff>
      <xdr:row>19</xdr:row>
      <xdr:rowOff>180291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93556" y="123825"/>
          <a:ext cx="5036820" cy="3980766"/>
        </a:xfrm>
        <a:prstGeom prst="rect">
          <a:avLst/>
        </a:prstGeom>
      </xdr:spPr>
    </xdr:pic>
    <xdr:clientData/>
  </xdr:twoCellAnchor>
  <xdr:twoCellAnchor editAs="oneCell">
    <xdr:from>
      <xdr:col>14</xdr:col>
      <xdr:colOff>552450</xdr:colOff>
      <xdr:row>20</xdr:row>
      <xdr:rowOff>142876</xdr:rowOff>
    </xdr:from>
    <xdr:to>
      <xdr:col>21</xdr:col>
      <xdr:colOff>523875</xdr:colOff>
      <xdr:row>29</xdr:row>
      <xdr:rowOff>162430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60280" y="4257676"/>
          <a:ext cx="4531995" cy="1608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21</xdr:col>
      <xdr:colOff>285750</xdr:colOff>
      <xdr:row>13</xdr:row>
      <xdr:rowOff>200025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4560" y="182880"/>
          <a:ext cx="4926330" cy="2806065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600076</xdr:colOff>
      <xdr:row>20</xdr:row>
      <xdr:rowOff>38100</xdr:rowOff>
    </xdr:from>
    <xdr:to>
      <xdr:col>27</xdr:col>
      <xdr:colOff>339462</xdr:colOff>
      <xdr:row>40</xdr:row>
      <xdr:rowOff>100965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1696" y="4274820"/>
          <a:ext cx="9020546" cy="374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91440</xdr:rowOff>
    </xdr:from>
    <xdr:to>
      <xdr:col>19</xdr:col>
      <xdr:colOff>333375</xdr:colOff>
      <xdr:row>52</xdr:row>
      <xdr:rowOff>103137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4560" y="8561070"/>
          <a:ext cx="3648075" cy="1676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571500</xdr:colOff>
      <xdr:row>41</xdr:row>
      <xdr:rowOff>150496</xdr:rowOff>
    </xdr:from>
    <xdr:to>
      <xdr:col>29</xdr:col>
      <xdr:colOff>523875</xdr:colOff>
      <xdr:row>60</xdr:row>
      <xdr:rowOff>155993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0760" y="8250556"/>
          <a:ext cx="6581775" cy="3514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53</xdr:row>
      <xdr:rowOff>175261</xdr:rowOff>
    </xdr:from>
    <xdr:to>
      <xdr:col>19</xdr:col>
      <xdr:colOff>238125</xdr:colOff>
      <xdr:row>63</xdr:row>
      <xdr:rowOff>170631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4560" y="10492741"/>
          <a:ext cx="3552825" cy="184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274321</xdr:colOff>
      <xdr:row>0</xdr:row>
      <xdr:rowOff>144781</xdr:rowOff>
    </xdr:from>
    <xdr:to>
      <xdr:col>29</xdr:col>
      <xdr:colOff>225313</xdr:colOff>
      <xdr:row>18</xdr:row>
      <xdr:rowOff>152400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92401" y="144781"/>
          <a:ext cx="4591572" cy="3863339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65</xdr:row>
      <xdr:rowOff>0</xdr:rowOff>
    </xdr:from>
    <xdr:to>
      <xdr:col>20</xdr:col>
      <xdr:colOff>139701</xdr:colOff>
      <xdr:row>79</xdr:row>
      <xdr:rowOff>26324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814561" y="12534900"/>
          <a:ext cx="4117340" cy="25866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102870</xdr:colOff>
      <xdr:row>2</xdr:row>
      <xdr:rowOff>49530</xdr:rowOff>
    </xdr:from>
    <xdr:to>
      <xdr:col>10</xdr:col>
      <xdr:colOff>576262</xdr:colOff>
      <xdr:row>11</xdr:row>
      <xdr:rowOff>60274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415290"/>
          <a:ext cx="3643312" cy="1664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view="pageLayout" topLeftCell="A32" zoomScale="55" zoomScaleNormal="80" zoomScalePageLayoutView="55" workbookViewId="0">
      <selection activeCell="N60" sqref="N60"/>
    </sheetView>
  </sheetViews>
  <sheetFormatPr baseColWidth="10" defaultColWidth="9.1015625" defaultRowHeight="14.4" x14ac:dyDescent="0.55000000000000004"/>
  <cols>
    <col min="1" max="1" width="5" style="66" customWidth="1"/>
    <col min="2" max="2" width="2.41796875" customWidth="1"/>
    <col min="3" max="3" width="9.5234375" customWidth="1"/>
    <col min="4" max="4" width="12.68359375" customWidth="1"/>
    <col min="5" max="6" width="6.41796875" customWidth="1"/>
    <col min="7" max="7" width="7.89453125" customWidth="1"/>
    <col min="8" max="8" width="16.41796875" customWidth="1"/>
    <col min="9" max="9" width="12.41796875" customWidth="1"/>
    <col min="10" max="10" width="15" customWidth="1"/>
    <col min="11" max="11" width="6.3125" customWidth="1"/>
    <col min="13" max="13" width="13.15625" customWidth="1"/>
    <col min="14" max="14" width="6.7890625" customWidth="1"/>
  </cols>
  <sheetData>
    <row r="1" spans="1:14" s="65" customFormat="1" ht="14.7" thickBot="1" x14ac:dyDescent="0.6">
      <c r="A1" s="65" t="s">
        <v>110</v>
      </c>
      <c r="B1" s="65" t="s">
        <v>111</v>
      </c>
      <c r="C1" s="65" t="s">
        <v>112</v>
      </c>
      <c r="D1" s="65" t="s">
        <v>113</v>
      </c>
      <c r="E1" s="65" t="s">
        <v>114</v>
      </c>
      <c r="F1" s="65" t="s">
        <v>115</v>
      </c>
      <c r="G1" s="65" t="s">
        <v>116</v>
      </c>
      <c r="H1" s="65" t="s">
        <v>117</v>
      </c>
      <c r="I1" s="65" t="s">
        <v>118</v>
      </c>
      <c r="J1" s="65" t="s">
        <v>119</v>
      </c>
      <c r="K1" s="65" t="s">
        <v>120</v>
      </c>
      <c r="L1" s="65" t="s">
        <v>121</v>
      </c>
      <c r="M1" s="65" t="s">
        <v>122</v>
      </c>
      <c r="N1" s="65" t="s">
        <v>7</v>
      </c>
    </row>
    <row r="2" spans="1:14" ht="14.7" thickBot="1" x14ac:dyDescent="0.6">
      <c r="A2" s="65">
        <v>2</v>
      </c>
      <c r="B2" s="45" t="s">
        <v>109</v>
      </c>
      <c r="C2" s="53"/>
      <c r="D2" s="53" t="s">
        <v>8</v>
      </c>
      <c r="E2" s="53"/>
      <c r="F2" s="53"/>
      <c r="G2" s="53"/>
      <c r="H2" s="54"/>
    </row>
    <row r="3" spans="1:14" x14ac:dyDescent="0.55000000000000004">
      <c r="A3" s="65">
        <v>3</v>
      </c>
    </row>
    <row r="4" spans="1:14" x14ac:dyDescent="0.55000000000000004">
      <c r="A4" s="65">
        <v>4</v>
      </c>
      <c r="B4" t="s">
        <v>86</v>
      </c>
      <c r="C4" s="1"/>
      <c r="D4" s="86" t="s">
        <v>167</v>
      </c>
      <c r="F4" s="6"/>
      <c r="I4" t="s">
        <v>87</v>
      </c>
      <c r="J4" s="88"/>
      <c r="K4" t="s">
        <v>88</v>
      </c>
      <c r="L4" s="88"/>
    </row>
    <row r="5" spans="1:14" x14ac:dyDescent="0.55000000000000004">
      <c r="A5" s="65">
        <v>5</v>
      </c>
      <c r="K5" s="5"/>
    </row>
    <row r="6" spans="1:14" ht="18" customHeight="1" x14ac:dyDescent="0.55000000000000004">
      <c r="A6" s="65">
        <v>6</v>
      </c>
      <c r="B6" s="51" t="s">
        <v>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62"/>
      <c r="N6" s="62"/>
    </row>
    <row r="7" spans="1:14" ht="22.8" customHeight="1" x14ac:dyDescent="0.55000000000000004">
      <c r="A7" s="65">
        <v>7</v>
      </c>
      <c r="B7" s="64" t="s">
        <v>89</v>
      </c>
      <c r="C7" s="10"/>
      <c r="D7" s="10"/>
      <c r="E7" s="10"/>
      <c r="F7" s="10"/>
      <c r="G7" s="10"/>
      <c r="H7" s="10"/>
      <c r="I7" s="10"/>
      <c r="J7" s="51" t="s">
        <v>103</v>
      </c>
      <c r="K7" s="64"/>
      <c r="L7" s="11"/>
      <c r="M7" s="55" t="s">
        <v>175</v>
      </c>
      <c r="N7" s="10" t="s">
        <v>2</v>
      </c>
    </row>
    <row r="8" spans="1:14" ht="22.8" customHeight="1" x14ac:dyDescent="0.55000000000000004">
      <c r="A8" s="65">
        <v>8</v>
      </c>
      <c r="B8" s="64" t="s">
        <v>10</v>
      </c>
      <c r="C8" s="10"/>
      <c r="D8" s="10"/>
      <c r="E8" s="10"/>
      <c r="F8" s="10"/>
      <c r="G8" s="10"/>
      <c r="H8" s="10"/>
      <c r="I8" s="10"/>
      <c r="J8" s="64"/>
      <c r="K8" s="51" t="s">
        <v>104</v>
      </c>
      <c r="L8" s="11"/>
      <c r="M8" s="55" t="s">
        <v>176</v>
      </c>
      <c r="N8" s="10"/>
    </row>
    <row r="9" spans="1:14" ht="17.399999999999999" customHeight="1" x14ac:dyDescent="0.55000000000000004">
      <c r="A9" s="65">
        <v>9</v>
      </c>
      <c r="B9" s="64" t="s">
        <v>91</v>
      </c>
      <c r="C9" s="10"/>
      <c r="D9" s="10"/>
      <c r="E9" s="10"/>
      <c r="F9" s="10"/>
      <c r="G9" s="10"/>
      <c r="H9" s="10"/>
      <c r="I9" s="10"/>
      <c r="J9" s="10"/>
      <c r="K9" s="51" t="s">
        <v>105</v>
      </c>
      <c r="L9" s="11"/>
      <c r="M9" s="56" t="s">
        <v>177</v>
      </c>
      <c r="N9" s="10" t="s">
        <v>3</v>
      </c>
    </row>
    <row r="10" spans="1:14" ht="17.399999999999999" customHeight="1" x14ac:dyDescent="0.55000000000000004">
      <c r="A10" s="65">
        <v>10</v>
      </c>
      <c r="B10" s="64" t="s">
        <v>92</v>
      </c>
      <c r="C10" s="10"/>
      <c r="D10" s="10"/>
      <c r="E10" s="10"/>
      <c r="F10" s="10"/>
      <c r="G10" s="10"/>
      <c r="H10" s="64" t="s">
        <v>13</v>
      </c>
      <c r="I10" s="10"/>
      <c r="J10" s="10"/>
      <c r="K10" s="64" t="s">
        <v>179</v>
      </c>
      <c r="L10" s="11"/>
      <c r="M10" s="55" t="s">
        <v>178</v>
      </c>
      <c r="N10" s="10" t="s">
        <v>15</v>
      </c>
    </row>
    <row r="11" spans="1:14" ht="18" customHeight="1" x14ac:dyDescent="0.55000000000000004">
      <c r="A11" s="65">
        <v>11</v>
      </c>
      <c r="B11" t="s">
        <v>11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5" customHeight="1" x14ac:dyDescent="0.55000000000000004">
      <c r="A12" s="65">
        <v>12</v>
      </c>
      <c r="C12" s="10" t="s">
        <v>16</v>
      </c>
      <c r="D12" s="10" t="s">
        <v>17</v>
      </c>
      <c r="E12" s="10" t="s">
        <v>3</v>
      </c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" customHeight="1" x14ac:dyDescent="0.55000000000000004">
      <c r="A13" s="65">
        <v>13</v>
      </c>
      <c r="C13" t="s">
        <v>18</v>
      </c>
      <c r="D13" t="s">
        <v>94</v>
      </c>
      <c r="E13" s="10"/>
      <c r="F13" s="10" t="s">
        <v>19</v>
      </c>
      <c r="G13" s="10"/>
      <c r="H13" s="10"/>
      <c r="I13" s="10"/>
      <c r="J13" s="10"/>
      <c r="K13" s="10"/>
      <c r="L13" s="10"/>
      <c r="M13" s="10"/>
      <c r="N13" s="10"/>
    </row>
    <row r="14" spans="1:14" ht="15" customHeight="1" x14ac:dyDescent="0.55000000000000004">
      <c r="A14" s="65">
        <v>14</v>
      </c>
      <c r="C14" t="s">
        <v>20</v>
      </c>
      <c r="D14" t="s">
        <v>95</v>
      </c>
      <c r="E14" s="10"/>
      <c r="F14" s="10" t="s">
        <v>19</v>
      </c>
      <c r="G14" s="10"/>
      <c r="H14" s="10"/>
      <c r="I14" s="10"/>
      <c r="J14" s="10"/>
      <c r="K14" s="10"/>
      <c r="L14" s="10"/>
      <c r="M14" s="10"/>
      <c r="N14" s="10"/>
    </row>
    <row r="15" spans="1:14" ht="15" customHeight="1" x14ac:dyDescent="0.55000000000000004">
      <c r="A15" s="65">
        <v>15</v>
      </c>
      <c r="C15" t="s">
        <v>21</v>
      </c>
      <c r="D15" t="s">
        <v>96</v>
      </c>
      <c r="E15" s="10"/>
      <c r="F15" s="10" t="s">
        <v>19</v>
      </c>
      <c r="G15" s="10"/>
      <c r="H15" s="10"/>
      <c r="I15" s="10"/>
      <c r="J15" s="10"/>
      <c r="K15" s="10"/>
      <c r="L15" s="10"/>
      <c r="M15" s="10"/>
      <c r="N15" s="10"/>
    </row>
    <row r="16" spans="1:14" ht="15" customHeight="1" x14ac:dyDescent="0.55000000000000004">
      <c r="A16" s="65">
        <v>16</v>
      </c>
      <c r="C16" t="s">
        <v>22</v>
      </c>
      <c r="E16" s="10"/>
      <c r="F16" t="s">
        <v>97</v>
      </c>
      <c r="G16" s="10"/>
      <c r="H16" s="10"/>
      <c r="I16" s="10" t="s">
        <v>6</v>
      </c>
      <c r="J16" s="10"/>
      <c r="K16" s="10"/>
      <c r="L16" s="10"/>
      <c r="M16" s="10"/>
      <c r="N16" s="10"/>
    </row>
    <row r="17" spans="1:14" ht="15" customHeight="1" x14ac:dyDescent="0.55000000000000004">
      <c r="A17" s="65">
        <v>17</v>
      </c>
      <c r="C17" t="s">
        <v>23</v>
      </c>
      <c r="E17" s="10"/>
      <c r="F17" t="s">
        <v>98</v>
      </c>
      <c r="G17" s="10"/>
      <c r="H17" s="10"/>
      <c r="I17" s="10" t="s">
        <v>6</v>
      </c>
      <c r="J17" s="10"/>
      <c r="K17" s="10"/>
      <c r="L17" s="10"/>
      <c r="M17" s="10"/>
      <c r="N17" s="10"/>
    </row>
    <row r="18" spans="1:14" ht="15" customHeight="1" x14ac:dyDescent="0.55000000000000004">
      <c r="A18" s="65">
        <v>18</v>
      </c>
      <c r="B18" s="10"/>
      <c r="C18" t="s">
        <v>24</v>
      </c>
      <c r="E18" s="10"/>
      <c r="F18" t="s">
        <v>99</v>
      </c>
      <c r="H18" s="10"/>
      <c r="I18" s="10" t="s">
        <v>25</v>
      </c>
      <c r="J18" s="10"/>
      <c r="K18" s="10"/>
      <c r="L18" s="10"/>
      <c r="M18" s="10"/>
      <c r="N18" s="10"/>
    </row>
    <row r="19" spans="1:14" ht="15" customHeight="1" x14ac:dyDescent="0.55000000000000004">
      <c r="A19" s="91">
        <v>19</v>
      </c>
      <c r="B19" s="51" t="s">
        <v>26</v>
      </c>
      <c r="E19" s="10"/>
      <c r="H19" s="10"/>
      <c r="I19" s="10"/>
      <c r="J19" s="10"/>
      <c r="K19" s="10"/>
      <c r="L19" s="10"/>
      <c r="M19" s="10"/>
      <c r="N19" s="10"/>
    </row>
    <row r="20" spans="1:14" ht="15" customHeight="1" x14ac:dyDescent="0.55000000000000004">
      <c r="A20" s="65">
        <v>20</v>
      </c>
      <c r="B20" s="10"/>
      <c r="C20" t="s">
        <v>29</v>
      </c>
      <c r="E20" s="10"/>
      <c r="H20" s="10"/>
      <c r="I20" s="10"/>
      <c r="J20" s="10"/>
      <c r="K20" s="10"/>
      <c r="L20" s="10"/>
      <c r="M20" s="10"/>
      <c r="N20" s="10"/>
    </row>
    <row r="21" spans="1:14" ht="15" customHeight="1" x14ac:dyDescent="0.55000000000000004">
      <c r="A21" s="65">
        <v>21</v>
      </c>
      <c r="B21" s="10"/>
      <c r="C21" t="s">
        <v>100</v>
      </c>
      <c r="E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55000000000000004">
      <c r="A22" s="65">
        <v>22</v>
      </c>
      <c r="D22" t="s">
        <v>27</v>
      </c>
    </row>
    <row r="23" spans="1:14" x14ac:dyDescent="0.55000000000000004">
      <c r="A23" s="65">
        <v>23</v>
      </c>
      <c r="D23" t="s">
        <v>28</v>
      </c>
      <c r="I23" s="6"/>
      <c r="L23" s="2"/>
      <c r="M23" s="3"/>
    </row>
    <row r="24" spans="1:14" ht="9" customHeight="1" x14ac:dyDescent="0.55000000000000004">
      <c r="A24" s="65">
        <v>24</v>
      </c>
      <c r="I24" s="6"/>
      <c r="L24" s="2"/>
      <c r="M24" s="3"/>
    </row>
    <row r="25" spans="1:14" x14ac:dyDescent="0.55000000000000004">
      <c r="A25" s="65">
        <v>25</v>
      </c>
      <c r="C25" s="6" t="s">
        <v>168</v>
      </c>
      <c r="D25" s="89"/>
      <c r="F25" s="19" t="s">
        <v>16</v>
      </c>
      <c r="G25" s="20"/>
      <c r="H25" s="21" t="s">
        <v>12</v>
      </c>
      <c r="I25" s="59" t="s">
        <v>180</v>
      </c>
      <c r="J25" s="22" t="s">
        <v>3</v>
      </c>
      <c r="K25" s="6"/>
    </row>
    <row r="26" spans="1:14" x14ac:dyDescent="0.55000000000000004">
      <c r="A26" s="65">
        <v>26</v>
      </c>
      <c r="C26" s="13" t="s">
        <v>93</v>
      </c>
      <c r="D26" s="59" t="s">
        <v>169</v>
      </c>
      <c r="F26" s="23" t="s">
        <v>18</v>
      </c>
      <c r="H26" s="6" t="s">
        <v>32</v>
      </c>
      <c r="I26" s="59" t="s">
        <v>181</v>
      </c>
      <c r="J26" s="24" t="s">
        <v>19</v>
      </c>
    </row>
    <row r="27" spans="1:14" x14ac:dyDescent="0.55000000000000004">
      <c r="A27" s="65">
        <v>27</v>
      </c>
      <c r="C27" s="15" t="s">
        <v>4</v>
      </c>
      <c r="D27" s="59" t="s">
        <v>170</v>
      </c>
      <c r="F27" s="23" t="s">
        <v>20</v>
      </c>
      <c r="H27" s="6" t="s">
        <v>33</v>
      </c>
      <c r="I27" s="59" t="s">
        <v>182</v>
      </c>
      <c r="J27" s="24" t="s">
        <v>19</v>
      </c>
    </row>
    <row r="28" spans="1:14" x14ac:dyDescent="0.55000000000000004">
      <c r="A28" s="65">
        <v>28</v>
      </c>
      <c r="C28" s="15" t="s">
        <v>30</v>
      </c>
      <c r="D28" s="59" t="s">
        <v>171</v>
      </c>
      <c r="F28" s="23" t="s">
        <v>21</v>
      </c>
      <c r="H28" s="6" t="s">
        <v>34</v>
      </c>
      <c r="I28" s="59" t="s">
        <v>183</v>
      </c>
      <c r="J28" s="24" t="s">
        <v>19</v>
      </c>
    </row>
    <row r="29" spans="1:14" ht="14.7" x14ac:dyDescent="0.55000000000000004">
      <c r="A29" s="65">
        <v>29</v>
      </c>
      <c r="C29" s="15" t="s">
        <v>90</v>
      </c>
      <c r="D29" s="59" t="s">
        <v>172</v>
      </c>
      <c r="F29" s="23" t="s">
        <v>35</v>
      </c>
      <c r="H29" s="6" t="s">
        <v>36</v>
      </c>
      <c r="I29" s="59" t="s">
        <v>184</v>
      </c>
      <c r="J29" s="24" t="s">
        <v>6</v>
      </c>
    </row>
    <row r="30" spans="1:14" ht="14.7" x14ac:dyDescent="0.55000000000000004">
      <c r="A30" s="65">
        <v>30</v>
      </c>
      <c r="C30" s="15" t="s">
        <v>31</v>
      </c>
      <c r="D30" s="59" t="s">
        <v>173</v>
      </c>
      <c r="F30" s="23" t="s">
        <v>37</v>
      </c>
      <c r="H30" s="6" t="s">
        <v>38</v>
      </c>
      <c r="I30" s="59" t="s">
        <v>185</v>
      </c>
      <c r="J30" s="24" t="s">
        <v>6</v>
      </c>
    </row>
    <row r="31" spans="1:14" x14ac:dyDescent="0.55000000000000004">
      <c r="A31" s="65">
        <v>31</v>
      </c>
      <c r="C31" s="17" t="s">
        <v>5</v>
      </c>
      <c r="D31" s="59" t="s">
        <v>174</v>
      </c>
      <c r="F31" s="25" t="s">
        <v>39</v>
      </c>
      <c r="G31" s="26"/>
      <c r="H31" s="26"/>
      <c r="I31" s="59" t="s">
        <v>186</v>
      </c>
      <c r="J31" s="28" t="s">
        <v>25</v>
      </c>
    </row>
    <row r="32" spans="1:14" x14ac:dyDescent="0.55000000000000004">
      <c r="A32" s="91">
        <v>32</v>
      </c>
      <c r="B32" s="65" t="s">
        <v>111</v>
      </c>
      <c r="C32" s="65" t="s">
        <v>112</v>
      </c>
      <c r="D32" s="65" t="s">
        <v>113</v>
      </c>
      <c r="E32" s="65" t="s">
        <v>114</v>
      </c>
      <c r="F32" s="65" t="s">
        <v>115</v>
      </c>
      <c r="G32" s="65" t="s">
        <v>116</v>
      </c>
      <c r="H32" s="65" t="s">
        <v>117</v>
      </c>
      <c r="I32" s="65" t="s">
        <v>118</v>
      </c>
      <c r="J32" s="65" t="s">
        <v>119</v>
      </c>
      <c r="K32" s="65" t="s">
        <v>120</v>
      </c>
      <c r="L32" s="65" t="s">
        <v>121</v>
      </c>
      <c r="M32" s="65" t="s">
        <v>122</v>
      </c>
      <c r="N32" s="65" t="s">
        <v>7</v>
      </c>
    </row>
    <row r="33" spans="1:14" ht="11.4" customHeight="1" x14ac:dyDescent="0.55000000000000004">
      <c r="A33" s="65">
        <v>33</v>
      </c>
    </row>
    <row r="34" spans="1:14" x14ac:dyDescent="0.55000000000000004">
      <c r="A34" s="65">
        <v>34</v>
      </c>
      <c r="C34" t="s">
        <v>40</v>
      </c>
      <c r="E34" t="s">
        <v>41</v>
      </c>
      <c r="F34" s="92">
        <v>20</v>
      </c>
      <c r="H34" s="33" t="s">
        <v>42</v>
      </c>
      <c r="I34" s="93">
        <v>158.5</v>
      </c>
      <c r="J34" s="35" t="s">
        <v>43</v>
      </c>
    </row>
    <row r="35" spans="1:14" x14ac:dyDescent="0.55000000000000004">
      <c r="A35" s="65">
        <v>35</v>
      </c>
    </row>
    <row r="36" spans="1:14" x14ac:dyDescent="0.55000000000000004">
      <c r="A36" s="65">
        <v>36</v>
      </c>
      <c r="C36" t="s">
        <v>44</v>
      </c>
    </row>
    <row r="37" spans="1:14" ht="35.4" thickBot="1" x14ac:dyDescent="0.6">
      <c r="A37" s="65">
        <v>37</v>
      </c>
      <c r="D37" s="64" t="s">
        <v>45</v>
      </c>
      <c r="E37" s="64"/>
      <c r="F37" s="64" t="s">
        <v>107</v>
      </c>
      <c r="G37" s="64"/>
      <c r="H37" s="64"/>
      <c r="I37" s="64"/>
      <c r="J37" s="56" t="s">
        <v>187</v>
      </c>
      <c r="K37" s="64" t="s">
        <v>19</v>
      </c>
      <c r="L37" s="64"/>
      <c r="M37" s="64"/>
    </row>
    <row r="38" spans="1:14" ht="14.7" thickBot="1" x14ac:dyDescent="0.6">
      <c r="A38" s="65">
        <v>38</v>
      </c>
      <c r="D38" s="4" t="s">
        <v>46</v>
      </c>
      <c r="E38" s="4"/>
      <c r="F38" s="4"/>
      <c r="G38" s="4"/>
      <c r="H38" s="29" t="s">
        <v>56</v>
      </c>
      <c r="I38" s="30" t="s">
        <v>47</v>
      </c>
      <c r="J38" s="57" t="s">
        <v>188</v>
      </c>
      <c r="K38" s="9" t="s">
        <v>19</v>
      </c>
      <c r="L38" s="7" t="s">
        <v>48</v>
      </c>
      <c r="M38" s="58" t="s">
        <v>189</v>
      </c>
      <c r="N38" s="8" t="s">
        <v>7</v>
      </c>
    </row>
    <row r="39" spans="1:14" x14ac:dyDescent="0.55000000000000004">
      <c r="A39" s="65">
        <v>39</v>
      </c>
    </row>
    <row r="40" spans="1:14" ht="24" x14ac:dyDescent="0.55000000000000004">
      <c r="A40" s="65">
        <v>40</v>
      </c>
      <c r="D40" s="94" t="s">
        <v>190</v>
      </c>
      <c r="F40" s="67" t="s">
        <v>53</v>
      </c>
      <c r="G40" s="68" t="s">
        <v>191</v>
      </c>
      <c r="H40" s="64" t="s">
        <v>2</v>
      </c>
      <c r="I40" s="67" t="s">
        <v>54</v>
      </c>
      <c r="J40" s="96">
        <v>5</v>
      </c>
      <c r="K40" s="64" t="s">
        <v>2</v>
      </c>
      <c r="L40" s="69" t="s">
        <v>55</v>
      </c>
      <c r="M40" s="68" t="s">
        <v>192</v>
      </c>
      <c r="N40" s="70" t="s">
        <v>2</v>
      </c>
    </row>
    <row r="41" spans="1:14" x14ac:dyDescent="0.55000000000000004">
      <c r="A41" s="65">
        <v>41</v>
      </c>
      <c r="C41" t="s">
        <v>49</v>
      </c>
      <c r="F41" s="41" t="s">
        <v>50</v>
      </c>
      <c r="G41" s="42" t="s">
        <v>51</v>
      </c>
      <c r="H41" s="43"/>
      <c r="I41" s="58" t="s">
        <v>193</v>
      </c>
      <c r="J41" s="35" t="s">
        <v>7</v>
      </c>
    </row>
    <row r="42" spans="1:14" ht="14.7" x14ac:dyDescent="0.55000000000000004">
      <c r="A42" s="65">
        <v>42</v>
      </c>
      <c r="D42" t="s">
        <v>58</v>
      </c>
      <c r="F42" s="6"/>
      <c r="G42" s="6" t="s">
        <v>36</v>
      </c>
      <c r="H42" s="59" t="s">
        <v>194</v>
      </c>
      <c r="I42" s="98" t="s">
        <v>59</v>
      </c>
      <c r="K42" s="2" t="s">
        <v>61</v>
      </c>
      <c r="L42" s="92">
        <v>5.6</v>
      </c>
      <c r="M42" t="s">
        <v>6</v>
      </c>
    </row>
    <row r="43" spans="1:14" ht="14.7" x14ac:dyDescent="0.55000000000000004">
      <c r="A43" s="65">
        <v>43</v>
      </c>
      <c r="F43" s="6"/>
      <c r="G43" s="6" t="s">
        <v>38</v>
      </c>
      <c r="H43" s="59" t="s">
        <v>195</v>
      </c>
      <c r="I43" s="98" t="s">
        <v>60</v>
      </c>
      <c r="K43" s="36" t="s">
        <v>62</v>
      </c>
      <c r="L43" s="99">
        <v>1</v>
      </c>
    </row>
    <row r="44" spans="1:14" x14ac:dyDescent="0.55000000000000004">
      <c r="A44" s="65">
        <v>44</v>
      </c>
      <c r="D44" t="s">
        <v>63</v>
      </c>
      <c r="G44" s="6" t="s">
        <v>52</v>
      </c>
      <c r="H44" s="59" t="s">
        <v>196</v>
      </c>
      <c r="I44" s="37" t="s">
        <v>2</v>
      </c>
    </row>
    <row r="45" spans="1:14" x14ac:dyDescent="0.55000000000000004">
      <c r="A45" s="65">
        <v>45</v>
      </c>
      <c r="G45" s="6" t="s">
        <v>14</v>
      </c>
      <c r="H45" s="59" t="s">
        <v>197</v>
      </c>
      <c r="I45" s="37" t="s">
        <v>15</v>
      </c>
      <c r="K45" s="36" t="s">
        <v>64</v>
      </c>
      <c r="L45" s="100">
        <v>1.1000000000000001</v>
      </c>
    </row>
    <row r="46" spans="1:14" x14ac:dyDescent="0.55000000000000004">
      <c r="A46" s="65">
        <v>46</v>
      </c>
      <c r="D46" t="s">
        <v>65</v>
      </c>
      <c r="G46" s="59" t="s">
        <v>123</v>
      </c>
      <c r="H46" s="6" t="s">
        <v>66</v>
      </c>
      <c r="I46" s="101">
        <v>0.63</v>
      </c>
      <c r="K46" s="36" t="s">
        <v>67</v>
      </c>
      <c r="L46" s="100">
        <v>0.8</v>
      </c>
    </row>
    <row r="47" spans="1:14" ht="14.7" thickBot="1" x14ac:dyDescent="0.6">
      <c r="A47" s="65">
        <v>47</v>
      </c>
    </row>
    <row r="48" spans="1:14" ht="14.7" thickBot="1" x14ac:dyDescent="0.6">
      <c r="A48" s="65">
        <v>48</v>
      </c>
      <c r="C48" s="4" t="s">
        <v>57</v>
      </c>
      <c r="E48" s="45" t="s">
        <v>68</v>
      </c>
      <c r="F48" s="9" t="s">
        <v>69</v>
      </c>
      <c r="G48" s="9"/>
      <c r="H48" s="58" t="s">
        <v>198</v>
      </c>
      <c r="I48" s="47" t="s">
        <v>7</v>
      </c>
    </row>
    <row r="49" spans="1:14" ht="14.7" thickBot="1" x14ac:dyDescent="0.6">
      <c r="A49" s="65">
        <v>49</v>
      </c>
    </row>
    <row r="50" spans="1:14" ht="14.7" thickBot="1" x14ac:dyDescent="0.6">
      <c r="A50" s="65">
        <v>50</v>
      </c>
      <c r="E50" s="103" t="s">
        <v>70</v>
      </c>
      <c r="F50" s="9"/>
      <c r="G50" s="102" t="s">
        <v>199</v>
      </c>
      <c r="H50" s="8"/>
      <c r="J50" s="4" t="s">
        <v>71</v>
      </c>
      <c r="K50" s="4"/>
      <c r="L50" s="61" t="s">
        <v>200</v>
      </c>
    </row>
    <row r="51" spans="1:14" ht="9" customHeight="1" x14ac:dyDescent="0.55000000000000004">
      <c r="A51" s="65">
        <v>51</v>
      </c>
    </row>
    <row r="52" spans="1:14" x14ac:dyDescent="0.55000000000000004">
      <c r="A52" s="65">
        <v>52</v>
      </c>
      <c r="B52" t="s">
        <v>72</v>
      </c>
      <c r="E52" s="105" t="s">
        <v>101</v>
      </c>
      <c r="G52" s="88" t="s">
        <v>102</v>
      </c>
      <c r="I52" s="88" t="s">
        <v>73</v>
      </c>
    </row>
    <row r="53" spans="1:14" x14ac:dyDescent="0.55000000000000004">
      <c r="A53" s="65">
        <v>53</v>
      </c>
    </row>
    <row r="54" spans="1:14" ht="35.4" thickBot="1" x14ac:dyDescent="0.6">
      <c r="A54" s="65">
        <v>54</v>
      </c>
      <c r="D54" s="64" t="s">
        <v>74</v>
      </c>
      <c r="E54" s="64"/>
      <c r="F54" s="64" t="s">
        <v>108</v>
      </c>
      <c r="G54" s="64"/>
      <c r="H54" s="64"/>
      <c r="I54" s="64"/>
      <c r="J54" s="56" t="s">
        <v>201</v>
      </c>
      <c r="K54" s="64" t="s">
        <v>19</v>
      </c>
      <c r="L54" s="64"/>
    </row>
    <row r="55" spans="1:14" ht="14.7" thickBot="1" x14ac:dyDescent="0.6">
      <c r="A55" s="65">
        <v>55</v>
      </c>
      <c r="D55" s="4" t="s">
        <v>75</v>
      </c>
      <c r="E55" s="4"/>
      <c r="F55" s="4"/>
      <c r="G55" s="4"/>
      <c r="H55" s="29" t="s">
        <v>76</v>
      </c>
      <c r="I55" s="30" t="s">
        <v>77</v>
      </c>
      <c r="J55" s="57" t="s">
        <v>202</v>
      </c>
      <c r="K55" s="9" t="s">
        <v>19</v>
      </c>
      <c r="L55" s="7" t="s">
        <v>48</v>
      </c>
      <c r="M55" s="58" t="s">
        <v>203</v>
      </c>
      <c r="N55" s="8" t="s">
        <v>7</v>
      </c>
    </row>
    <row r="56" spans="1:14" ht="9.6" customHeight="1" x14ac:dyDescent="0.55000000000000004">
      <c r="A56" s="65">
        <v>56</v>
      </c>
    </row>
    <row r="57" spans="1:14" x14ac:dyDescent="0.55000000000000004">
      <c r="A57" s="65">
        <v>57</v>
      </c>
      <c r="D57" t="s">
        <v>78</v>
      </c>
      <c r="G57" s="6" t="s">
        <v>52</v>
      </c>
      <c r="H57" s="59" t="s">
        <v>196</v>
      </c>
      <c r="I57" s="37" t="s">
        <v>2</v>
      </c>
    </row>
    <row r="58" spans="1:14" ht="14.7" thickBot="1" x14ac:dyDescent="0.6">
      <c r="A58" s="65">
        <v>58</v>
      </c>
      <c r="G58" s="6" t="s">
        <v>79</v>
      </c>
      <c r="H58" s="92">
        <v>160</v>
      </c>
      <c r="I58" s="37" t="s">
        <v>15</v>
      </c>
      <c r="K58" s="36" t="s">
        <v>80</v>
      </c>
      <c r="L58" s="100">
        <v>0.77</v>
      </c>
    </row>
    <row r="59" spans="1:14" ht="14.7" thickBot="1" x14ac:dyDescent="0.6">
      <c r="A59" s="65">
        <v>59</v>
      </c>
      <c r="C59" s="4" t="s">
        <v>81</v>
      </c>
      <c r="E59" s="45" t="s">
        <v>82</v>
      </c>
      <c r="F59" s="9" t="s">
        <v>83</v>
      </c>
      <c r="G59" s="9"/>
      <c r="H59" s="58" t="s">
        <v>204</v>
      </c>
      <c r="I59" s="47" t="s">
        <v>7</v>
      </c>
    </row>
    <row r="60" spans="1:14" ht="14.7" thickBot="1" x14ac:dyDescent="0.6">
      <c r="A60" s="65">
        <v>60</v>
      </c>
      <c r="E60" s="103" t="s">
        <v>70</v>
      </c>
      <c r="F60" s="9"/>
      <c r="G60" s="102" t="s">
        <v>205</v>
      </c>
      <c r="H60" s="8"/>
      <c r="J60" s="4" t="s">
        <v>84</v>
      </c>
      <c r="K60" s="4"/>
      <c r="L60" s="61" t="s">
        <v>206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view="pageLayout" topLeftCell="A21" zoomScale="57" zoomScaleNormal="80" zoomScalePageLayoutView="57" workbookViewId="0">
      <selection activeCell="AA29" sqref="AA29"/>
    </sheetView>
  </sheetViews>
  <sheetFormatPr baseColWidth="10" defaultColWidth="9.1015625" defaultRowHeight="14.4" x14ac:dyDescent="0.55000000000000004"/>
  <cols>
    <col min="1" max="1" width="5" style="66" customWidth="1"/>
    <col min="2" max="2" width="2.41796875" customWidth="1"/>
    <col min="3" max="3" width="9.5234375" customWidth="1"/>
    <col min="4" max="4" width="12.68359375" customWidth="1"/>
    <col min="5" max="6" width="6.41796875" customWidth="1"/>
    <col min="7" max="7" width="7.89453125" customWidth="1"/>
    <col min="8" max="8" width="24.20703125" customWidth="1"/>
    <col min="9" max="9" width="10.3125" customWidth="1"/>
    <col min="10" max="10" width="15.3125" customWidth="1"/>
    <col min="11" max="11" width="6.3125" customWidth="1"/>
    <col min="13" max="13" width="9.3671875" customWidth="1"/>
    <col min="14" max="14" width="5.1015625" customWidth="1"/>
  </cols>
  <sheetData>
    <row r="1" spans="1:14" s="65" customFormat="1" ht="14.7" thickBot="1" x14ac:dyDescent="0.6">
      <c r="A1" s="65" t="s">
        <v>110</v>
      </c>
      <c r="B1" s="65" t="s">
        <v>111</v>
      </c>
      <c r="C1" s="65" t="s">
        <v>112</v>
      </c>
      <c r="D1" s="65" t="s">
        <v>113</v>
      </c>
      <c r="E1" s="65" t="s">
        <v>114</v>
      </c>
      <c r="F1" s="65" t="s">
        <v>115</v>
      </c>
      <c r="G1" s="65" t="s">
        <v>116</v>
      </c>
      <c r="H1" s="65" t="s">
        <v>117</v>
      </c>
      <c r="I1" s="65" t="s">
        <v>118</v>
      </c>
      <c r="J1" s="65" t="s">
        <v>119</v>
      </c>
      <c r="K1" s="65" t="s">
        <v>120</v>
      </c>
      <c r="L1" s="65" t="s">
        <v>121</v>
      </c>
      <c r="M1" s="65" t="s">
        <v>122</v>
      </c>
      <c r="N1" s="65" t="s">
        <v>7</v>
      </c>
    </row>
    <row r="2" spans="1:14" ht="14.7" thickBot="1" x14ac:dyDescent="0.6">
      <c r="A2" s="65">
        <v>2</v>
      </c>
      <c r="B2" s="45" t="s">
        <v>109</v>
      </c>
      <c r="C2" s="53"/>
      <c r="D2" s="53" t="s">
        <v>8</v>
      </c>
      <c r="E2" s="53"/>
      <c r="F2" s="53"/>
      <c r="G2" s="53"/>
      <c r="H2" s="54"/>
    </row>
    <row r="3" spans="1:14" x14ac:dyDescent="0.55000000000000004">
      <c r="A3" s="65">
        <v>3</v>
      </c>
    </row>
    <row r="4" spans="1:14" x14ac:dyDescent="0.55000000000000004">
      <c r="A4" s="65">
        <v>4</v>
      </c>
      <c r="B4" t="s">
        <v>86</v>
      </c>
      <c r="C4" s="1"/>
      <c r="D4" s="87" t="e">
        <f>VLOOKUP($C$25,Listado!B3:C22,2,FALSE)</f>
        <v>#N/A</v>
      </c>
      <c r="F4" s="6"/>
      <c r="I4" t="s">
        <v>87</v>
      </c>
      <c r="J4" s="88"/>
      <c r="K4" t="s">
        <v>88</v>
      </c>
      <c r="L4" s="88"/>
    </row>
    <row r="5" spans="1:14" x14ac:dyDescent="0.55000000000000004">
      <c r="A5" s="65">
        <v>5</v>
      </c>
      <c r="K5" s="5"/>
    </row>
    <row r="6" spans="1:14" ht="18" customHeight="1" x14ac:dyDescent="0.55000000000000004">
      <c r="A6" s="65">
        <v>6</v>
      </c>
      <c r="B6" s="64" t="s">
        <v>9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2"/>
      <c r="N6" s="62"/>
    </row>
    <row r="7" spans="1:14" ht="22.8" customHeight="1" x14ac:dyDescent="0.55000000000000004">
      <c r="A7" s="65">
        <v>7</v>
      </c>
      <c r="B7" s="64" t="s">
        <v>89</v>
      </c>
      <c r="C7" s="84"/>
      <c r="D7" s="84"/>
      <c r="E7" s="84"/>
      <c r="F7" s="84"/>
      <c r="G7" s="84"/>
      <c r="H7" s="84"/>
      <c r="I7" s="84"/>
      <c r="J7" s="51" t="s">
        <v>103</v>
      </c>
      <c r="K7" s="64"/>
      <c r="L7" s="11"/>
      <c r="M7" s="55">
        <f xml:space="preserve"> 400 + (100 * INT($D$29/5))</f>
        <v>400</v>
      </c>
      <c r="N7" s="84" t="s">
        <v>2</v>
      </c>
    </row>
    <row r="8" spans="1:14" ht="22.8" customHeight="1" x14ac:dyDescent="0.55000000000000004">
      <c r="A8" s="65">
        <v>8</v>
      </c>
      <c r="B8" s="64" t="s">
        <v>10</v>
      </c>
      <c r="C8" s="84"/>
      <c r="D8" s="84"/>
      <c r="E8" s="84"/>
      <c r="F8" s="84"/>
      <c r="G8" s="84"/>
      <c r="H8" s="84"/>
      <c r="I8" s="84"/>
      <c r="J8" s="64"/>
      <c r="K8" s="51" t="s">
        <v>104</v>
      </c>
      <c r="L8" s="11"/>
      <c r="M8" s="55">
        <f>5+INT($D$29/4)</f>
        <v>5</v>
      </c>
      <c r="N8" s="84"/>
    </row>
    <row r="9" spans="1:14" ht="17.399999999999999" customHeight="1" x14ac:dyDescent="0.55000000000000004">
      <c r="A9" s="65">
        <v>9</v>
      </c>
      <c r="B9" s="64" t="s">
        <v>91</v>
      </c>
      <c r="C9" s="84"/>
      <c r="D9" s="84"/>
      <c r="E9" s="84"/>
      <c r="F9" s="84"/>
      <c r="G9" s="84"/>
      <c r="H9" s="84"/>
      <c r="I9" s="84"/>
      <c r="J9" s="84"/>
      <c r="K9" s="51" t="s">
        <v>105</v>
      </c>
      <c r="L9" s="11"/>
      <c r="M9" s="56">
        <f>1+(0.1*$D$29)</f>
        <v>1.3</v>
      </c>
      <c r="N9" s="84" t="s">
        <v>3</v>
      </c>
    </row>
    <row r="10" spans="1:14" ht="17.399999999999999" customHeight="1" x14ac:dyDescent="0.55000000000000004">
      <c r="A10" s="65">
        <v>10</v>
      </c>
      <c r="B10" s="64" t="s">
        <v>92</v>
      </c>
      <c r="C10" s="84"/>
      <c r="D10" s="84"/>
      <c r="E10" s="84"/>
      <c r="F10" s="84"/>
      <c r="G10" s="84"/>
      <c r="H10" s="64" t="s">
        <v>13</v>
      </c>
      <c r="I10" s="84"/>
      <c r="J10" s="84"/>
      <c r="K10" s="64" t="s">
        <v>179</v>
      </c>
      <c r="L10" s="11"/>
      <c r="M10" s="55">
        <f>10+(2*$D$26)</f>
        <v>18</v>
      </c>
      <c r="N10" s="117" t="s">
        <v>15</v>
      </c>
    </row>
    <row r="11" spans="1:14" ht="18" customHeight="1" x14ac:dyDescent="0.55000000000000004">
      <c r="A11" s="65">
        <v>11</v>
      </c>
      <c r="B11" t="s">
        <v>11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1:14" ht="15" customHeight="1" x14ac:dyDescent="0.55000000000000004">
      <c r="A12" s="65">
        <v>12</v>
      </c>
      <c r="C12" s="84" t="s">
        <v>16</v>
      </c>
      <c r="D12" s="84" t="s">
        <v>17</v>
      </c>
      <c r="E12" s="84" t="s">
        <v>3</v>
      </c>
      <c r="F12" s="84"/>
      <c r="G12" s="84"/>
      <c r="H12" s="84"/>
      <c r="I12" s="84"/>
      <c r="J12" s="84"/>
      <c r="K12" s="84"/>
      <c r="L12" s="84"/>
      <c r="M12" s="84"/>
      <c r="N12" s="84"/>
    </row>
    <row r="13" spans="1:14" ht="15" customHeight="1" x14ac:dyDescent="0.55000000000000004">
      <c r="A13" s="65">
        <v>13</v>
      </c>
      <c r="C13" t="s">
        <v>18</v>
      </c>
      <c r="D13" t="s">
        <v>94</v>
      </c>
      <c r="E13" s="84"/>
      <c r="F13" s="84" t="s">
        <v>19</v>
      </c>
      <c r="G13" s="84"/>
      <c r="H13" s="84"/>
      <c r="I13" s="84"/>
      <c r="J13" s="84"/>
      <c r="K13" s="84"/>
      <c r="L13" s="84"/>
      <c r="M13" s="84"/>
      <c r="N13" s="84"/>
    </row>
    <row r="14" spans="1:14" ht="15" customHeight="1" x14ac:dyDescent="0.55000000000000004">
      <c r="A14" s="65">
        <v>14</v>
      </c>
      <c r="C14" t="s">
        <v>20</v>
      </c>
      <c r="D14" t="s">
        <v>95</v>
      </c>
      <c r="E14" s="84"/>
      <c r="F14" s="84" t="s">
        <v>19</v>
      </c>
      <c r="G14" s="84"/>
      <c r="H14" s="84"/>
      <c r="I14" s="84"/>
      <c r="J14" s="84"/>
      <c r="K14" s="84"/>
      <c r="L14" s="84"/>
      <c r="M14" s="84"/>
      <c r="N14" s="84"/>
    </row>
    <row r="15" spans="1:14" ht="15" customHeight="1" x14ac:dyDescent="0.55000000000000004">
      <c r="A15" s="65">
        <v>15</v>
      </c>
      <c r="C15" t="s">
        <v>21</v>
      </c>
      <c r="D15" t="s">
        <v>96</v>
      </c>
      <c r="E15" s="84"/>
      <c r="F15" s="84" t="s">
        <v>19</v>
      </c>
      <c r="G15" s="84"/>
      <c r="H15" s="84"/>
      <c r="I15" s="84"/>
      <c r="J15" s="84"/>
      <c r="K15" s="84"/>
      <c r="L15" s="84"/>
      <c r="M15" s="84"/>
      <c r="N15" s="84"/>
    </row>
    <row r="16" spans="1:14" ht="15" customHeight="1" x14ac:dyDescent="0.55000000000000004">
      <c r="A16" s="65">
        <v>16</v>
      </c>
      <c r="C16" t="s">
        <v>22</v>
      </c>
      <c r="E16" s="84"/>
      <c r="F16" t="s">
        <v>97</v>
      </c>
      <c r="G16" s="84"/>
      <c r="H16" s="84"/>
      <c r="I16" s="84" t="s">
        <v>6</v>
      </c>
      <c r="J16" s="84"/>
      <c r="K16" s="84"/>
      <c r="L16" s="84"/>
      <c r="M16" s="84"/>
      <c r="N16" s="84"/>
    </row>
    <row r="17" spans="1:14" ht="15" customHeight="1" x14ac:dyDescent="0.55000000000000004">
      <c r="A17" s="65">
        <v>17</v>
      </c>
      <c r="C17" t="s">
        <v>23</v>
      </c>
      <c r="E17" s="84"/>
      <c r="F17" t="s">
        <v>98</v>
      </c>
      <c r="G17" s="84"/>
      <c r="H17" s="84"/>
      <c r="I17" s="84" t="s">
        <v>6</v>
      </c>
      <c r="J17" s="84"/>
      <c r="K17" s="84"/>
      <c r="L17" s="84"/>
      <c r="M17" s="84"/>
      <c r="N17" s="84"/>
    </row>
    <row r="18" spans="1:14" ht="15" customHeight="1" x14ac:dyDescent="0.55000000000000004">
      <c r="A18" s="65">
        <v>18</v>
      </c>
      <c r="B18" s="84"/>
      <c r="C18" t="s">
        <v>24</v>
      </c>
      <c r="E18" s="84"/>
      <c r="F18" t="s">
        <v>99</v>
      </c>
      <c r="H18" s="84"/>
      <c r="I18" s="84" t="s">
        <v>25</v>
      </c>
      <c r="J18" s="84"/>
      <c r="K18" s="84"/>
      <c r="L18" s="84"/>
      <c r="M18" s="84"/>
      <c r="N18" s="84"/>
    </row>
    <row r="19" spans="1:14" ht="15" customHeight="1" x14ac:dyDescent="0.55000000000000004">
      <c r="A19" s="91">
        <v>19</v>
      </c>
      <c r="B19" s="51" t="s">
        <v>26</v>
      </c>
      <c r="E19" s="84"/>
      <c r="H19" s="84"/>
      <c r="I19" s="84"/>
      <c r="J19" s="84"/>
      <c r="K19" s="84"/>
      <c r="L19" s="84"/>
      <c r="M19" s="84"/>
      <c r="N19" s="84"/>
    </row>
    <row r="20" spans="1:14" ht="15" customHeight="1" x14ac:dyDescent="0.55000000000000004">
      <c r="A20" s="65">
        <v>20</v>
      </c>
      <c r="B20" s="84"/>
      <c r="C20" t="s">
        <v>29</v>
      </c>
      <c r="E20" s="84"/>
      <c r="H20" s="84"/>
      <c r="I20" s="84"/>
      <c r="J20" s="84"/>
      <c r="K20" s="84"/>
      <c r="L20" s="84"/>
      <c r="M20" s="84"/>
      <c r="N20" s="84"/>
    </row>
    <row r="21" spans="1:14" ht="15" customHeight="1" x14ac:dyDescent="0.55000000000000004">
      <c r="A21" s="65">
        <v>21</v>
      </c>
      <c r="B21" s="84"/>
      <c r="C21" t="s">
        <v>100</v>
      </c>
      <c r="E21" s="84"/>
      <c r="G21" s="84"/>
      <c r="H21" s="84"/>
      <c r="I21" s="84"/>
      <c r="J21" s="84"/>
      <c r="K21" s="84"/>
      <c r="L21" s="84"/>
      <c r="M21" s="84"/>
      <c r="N21" s="84"/>
    </row>
    <row r="22" spans="1:14" x14ac:dyDescent="0.55000000000000004">
      <c r="A22" s="65">
        <v>22</v>
      </c>
      <c r="D22" t="s">
        <v>27</v>
      </c>
    </row>
    <row r="23" spans="1:14" x14ac:dyDescent="0.55000000000000004">
      <c r="A23" s="65">
        <v>23</v>
      </c>
      <c r="D23" t="s">
        <v>28</v>
      </c>
      <c r="I23" s="6"/>
      <c r="L23" s="2"/>
      <c r="M23" s="3"/>
    </row>
    <row r="24" spans="1:14" ht="9" customHeight="1" x14ac:dyDescent="0.55000000000000004">
      <c r="A24" s="65">
        <v>24</v>
      </c>
      <c r="I24" s="6"/>
      <c r="L24" s="2"/>
      <c r="M24" s="3"/>
    </row>
    <row r="25" spans="1:14" x14ac:dyDescent="0.55000000000000004">
      <c r="A25" s="65">
        <v>25</v>
      </c>
      <c r="C25" s="6" t="s">
        <v>168</v>
      </c>
      <c r="D25" s="90" t="s">
        <v>166</v>
      </c>
      <c r="F25" s="19" t="s">
        <v>16</v>
      </c>
      <c r="G25" s="20"/>
      <c r="H25" s="21" t="s">
        <v>12</v>
      </c>
      <c r="I25" s="59">
        <f xml:space="preserve"> 8 + D27</f>
        <v>16</v>
      </c>
      <c r="J25" s="22" t="s">
        <v>3</v>
      </c>
      <c r="K25" s="6"/>
    </row>
    <row r="26" spans="1:14" x14ac:dyDescent="0.55000000000000004">
      <c r="A26" s="65">
        <v>26</v>
      </c>
      <c r="C26" s="13" t="s">
        <v>93</v>
      </c>
      <c r="D26" s="59" t="str">
        <f>MID($D$25,1,1)</f>
        <v>4</v>
      </c>
      <c r="F26" s="23" t="s">
        <v>18</v>
      </c>
      <c r="H26" s="6" t="s">
        <v>32</v>
      </c>
      <c r="I26" s="59">
        <f>16+(2*$D$28)</f>
        <v>18</v>
      </c>
      <c r="J26" s="24" t="s">
        <v>19</v>
      </c>
    </row>
    <row r="27" spans="1:14" x14ac:dyDescent="0.55000000000000004">
      <c r="A27" s="65">
        <v>27</v>
      </c>
      <c r="C27" s="15" t="s">
        <v>4</v>
      </c>
      <c r="D27" s="59" t="str">
        <f>MID($D$25,3,1)</f>
        <v>8</v>
      </c>
      <c r="F27" s="23" t="s">
        <v>20</v>
      </c>
      <c r="H27" s="6" t="s">
        <v>33</v>
      </c>
      <c r="I27" s="59">
        <f>1.6+(0.1*$D$30)</f>
        <v>2.2000000000000002</v>
      </c>
      <c r="J27" s="24" t="s">
        <v>19</v>
      </c>
    </row>
    <row r="28" spans="1:14" x14ac:dyDescent="0.55000000000000004">
      <c r="A28" s="65">
        <v>28</v>
      </c>
      <c r="C28" s="15" t="s">
        <v>30</v>
      </c>
      <c r="D28" s="59" t="str">
        <f>MID($D$25,5,1)</f>
        <v>1</v>
      </c>
      <c r="F28" s="23" t="s">
        <v>21</v>
      </c>
      <c r="H28" s="6" t="s">
        <v>34</v>
      </c>
      <c r="I28" s="59">
        <f>20+(1.5*$D$28)</f>
        <v>21.5</v>
      </c>
      <c r="J28" s="24" t="s">
        <v>19</v>
      </c>
    </row>
    <row r="29" spans="1:14" ht="14.7" x14ac:dyDescent="0.55000000000000004">
      <c r="A29" s="65">
        <v>29</v>
      </c>
      <c r="C29" s="15" t="s">
        <v>90</v>
      </c>
      <c r="D29" s="59" t="str">
        <f>MID($D$25,6,1)</f>
        <v>3</v>
      </c>
      <c r="F29" s="23" t="s">
        <v>35</v>
      </c>
      <c r="H29" s="6" t="s">
        <v>36</v>
      </c>
      <c r="I29" s="59">
        <f>500 + (20 * $D$28)</f>
        <v>520</v>
      </c>
      <c r="J29" s="24" t="s">
        <v>6</v>
      </c>
    </row>
    <row r="30" spans="1:14" ht="14.7" x14ac:dyDescent="0.55000000000000004">
      <c r="A30" s="65">
        <v>30</v>
      </c>
      <c r="C30" s="15" t="s">
        <v>31</v>
      </c>
      <c r="D30" s="59" t="str">
        <f>MID($D$25,7,1)</f>
        <v>6</v>
      </c>
      <c r="F30" s="23" t="s">
        <v>37</v>
      </c>
      <c r="H30" s="6" t="s">
        <v>38</v>
      </c>
      <c r="I30" s="59">
        <f>600 + (20 *$D$28)</f>
        <v>620</v>
      </c>
      <c r="J30" s="24" t="s">
        <v>6</v>
      </c>
    </row>
    <row r="31" spans="1:14" x14ac:dyDescent="0.55000000000000004">
      <c r="A31" s="65">
        <v>31</v>
      </c>
      <c r="C31" s="17" t="s">
        <v>5</v>
      </c>
      <c r="D31" s="59" t="str">
        <f>MID($D$25,8,1)</f>
        <v>9</v>
      </c>
      <c r="F31" s="25" t="s">
        <v>39</v>
      </c>
      <c r="G31" s="26"/>
      <c r="H31" s="26"/>
      <c r="I31" s="59">
        <f>20+(6*$D$31)</f>
        <v>74</v>
      </c>
      <c r="J31" s="28" t="s">
        <v>25</v>
      </c>
    </row>
    <row r="32" spans="1:14" x14ac:dyDescent="0.55000000000000004">
      <c r="A32" s="91">
        <v>32</v>
      </c>
      <c r="B32" s="65" t="s">
        <v>111</v>
      </c>
      <c r="C32" s="65" t="s">
        <v>112</v>
      </c>
      <c r="D32" s="65" t="s">
        <v>113</v>
      </c>
      <c r="E32" s="65" t="s">
        <v>114</v>
      </c>
      <c r="F32" s="65" t="s">
        <v>115</v>
      </c>
      <c r="G32" s="65" t="s">
        <v>116</v>
      </c>
      <c r="H32" s="65" t="s">
        <v>117</v>
      </c>
      <c r="I32" s="65" t="s">
        <v>118</v>
      </c>
      <c r="J32" s="65" t="s">
        <v>119</v>
      </c>
      <c r="K32" s="65" t="s">
        <v>120</v>
      </c>
      <c r="L32" s="65" t="s">
        <v>121</v>
      </c>
      <c r="M32" s="65" t="s">
        <v>122</v>
      </c>
      <c r="N32" s="65" t="s">
        <v>7</v>
      </c>
    </row>
    <row r="33" spans="1:14" ht="11.4" customHeight="1" x14ac:dyDescent="0.55000000000000004">
      <c r="A33" s="65">
        <v>33</v>
      </c>
    </row>
    <row r="34" spans="1:14" x14ac:dyDescent="0.55000000000000004">
      <c r="A34" s="65">
        <v>34</v>
      </c>
      <c r="C34" t="s">
        <v>40</v>
      </c>
      <c r="E34" t="s">
        <v>41</v>
      </c>
      <c r="F34" s="92">
        <v>20</v>
      </c>
      <c r="H34" s="33" t="s">
        <v>42</v>
      </c>
      <c r="I34" s="93">
        <v>158.5</v>
      </c>
      <c r="J34" s="35" t="s">
        <v>43</v>
      </c>
    </row>
    <row r="35" spans="1:14" x14ac:dyDescent="0.55000000000000004">
      <c r="A35" s="65">
        <v>35</v>
      </c>
    </row>
    <row r="36" spans="1:14" x14ac:dyDescent="0.55000000000000004">
      <c r="A36" s="65">
        <v>36</v>
      </c>
      <c r="C36" t="s">
        <v>44</v>
      </c>
    </row>
    <row r="37" spans="1:14" ht="14.7" thickBot="1" x14ac:dyDescent="0.6">
      <c r="A37" s="65">
        <v>37</v>
      </c>
      <c r="D37" s="64" t="s">
        <v>45</v>
      </c>
      <c r="E37" s="64"/>
      <c r="F37" s="64" t="s">
        <v>107</v>
      </c>
      <c r="G37" s="64"/>
      <c r="H37" s="64"/>
      <c r="I37" s="64"/>
      <c r="J37" s="56">
        <f xml:space="preserve"> (I28/2) + (I27 + I34/1000 + I26) * (I25 - M9)/I25</f>
        <v>29.454371875</v>
      </c>
      <c r="K37" s="64" t="s">
        <v>19</v>
      </c>
      <c r="L37" s="64"/>
      <c r="M37" s="64"/>
    </row>
    <row r="38" spans="1:14" ht="14.7" thickBot="1" x14ac:dyDescent="0.6">
      <c r="A38" s="65">
        <v>38</v>
      </c>
      <c r="D38" s="4" t="s">
        <v>46</v>
      </c>
      <c r="E38" s="4"/>
      <c r="F38" s="4"/>
      <c r="G38" s="4"/>
      <c r="H38" s="29" t="s">
        <v>56</v>
      </c>
      <c r="I38" s="30" t="s">
        <v>47</v>
      </c>
      <c r="J38" s="57">
        <f>J37/4</f>
        <v>7.3635929687499999</v>
      </c>
      <c r="K38" s="9" t="s">
        <v>19</v>
      </c>
      <c r="L38" s="7" t="s">
        <v>48</v>
      </c>
      <c r="M38" s="58">
        <f>J38 * 9806</f>
        <v>72207.392651562506</v>
      </c>
      <c r="N38" s="8" t="s">
        <v>7</v>
      </c>
    </row>
    <row r="39" spans="1:14" x14ac:dyDescent="0.55000000000000004">
      <c r="A39" s="65">
        <v>39</v>
      </c>
    </row>
    <row r="40" spans="1:14" x14ac:dyDescent="0.55000000000000004">
      <c r="A40" s="65">
        <v>40</v>
      </c>
      <c r="D40" s="95" t="str">
        <f>"Carril A "&amp;M8&amp;"5"</f>
        <v>Carril A 55</v>
      </c>
      <c r="F40" s="67" t="s">
        <v>53</v>
      </c>
      <c r="G40" s="68" t="str">
        <f>M8&amp;5</f>
        <v>55</v>
      </c>
      <c r="H40" s="64" t="s">
        <v>2</v>
      </c>
      <c r="I40" s="67" t="s">
        <v>54</v>
      </c>
      <c r="J40" s="96">
        <v>5</v>
      </c>
      <c r="K40" s="64" t="s">
        <v>2</v>
      </c>
      <c r="L40" s="69" t="s">
        <v>55</v>
      </c>
      <c r="M40" s="97">
        <f xml:space="preserve"> G40 - 2*J40</f>
        <v>45</v>
      </c>
      <c r="N40" s="70" t="s">
        <v>2</v>
      </c>
    </row>
    <row r="41" spans="1:14" x14ac:dyDescent="0.55000000000000004">
      <c r="A41" s="65">
        <v>41</v>
      </c>
      <c r="C41" t="s">
        <v>49</v>
      </c>
      <c r="F41" s="41" t="s">
        <v>50</v>
      </c>
      <c r="G41" s="42" t="s">
        <v>51</v>
      </c>
      <c r="H41" s="43"/>
      <c r="I41" s="58">
        <f xml:space="preserve"> 5.6*M7*M40</f>
        <v>100800</v>
      </c>
      <c r="J41" s="35" t="s">
        <v>7</v>
      </c>
    </row>
    <row r="42" spans="1:14" ht="14.7" x14ac:dyDescent="0.55000000000000004">
      <c r="A42" s="65">
        <v>42</v>
      </c>
      <c r="D42" t="s">
        <v>58</v>
      </c>
      <c r="F42" s="6"/>
      <c r="G42" s="6" t="s">
        <v>36</v>
      </c>
      <c r="H42" s="60">
        <f>I29</f>
        <v>520</v>
      </c>
      <c r="I42" s="98" t="s">
        <v>59</v>
      </c>
      <c r="K42" s="2" t="s">
        <v>61</v>
      </c>
      <c r="L42" s="92">
        <v>5.6</v>
      </c>
      <c r="M42" t="s">
        <v>6</v>
      </c>
    </row>
    <row r="43" spans="1:14" ht="14.7" x14ac:dyDescent="0.55000000000000004">
      <c r="A43" s="65">
        <v>43</v>
      </c>
      <c r="F43" s="6"/>
      <c r="G43" s="6" t="s">
        <v>38</v>
      </c>
      <c r="H43" s="60">
        <f>I30</f>
        <v>620</v>
      </c>
      <c r="I43" s="98" t="s">
        <v>60</v>
      </c>
      <c r="K43" s="36" t="s">
        <v>62</v>
      </c>
      <c r="L43" s="99">
        <v>1</v>
      </c>
    </row>
    <row r="44" spans="1:14" x14ac:dyDescent="0.55000000000000004">
      <c r="A44" s="65">
        <v>44</v>
      </c>
      <c r="D44" t="s">
        <v>63</v>
      </c>
      <c r="G44" s="6" t="s">
        <v>52</v>
      </c>
      <c r="H44" s="60">
        <f>M7</f>
        <v>400</v>
      </c>
      <c r="I44" s="37" t="s">
        <v>2</v>
      </c>
    </row>
    <row r="45" spans="1:14" x14ac:dyDescent="0.55000000000000004">
      <c r="A45" s="65">
        <v>45</v>
      </c>
      <c r="G45" s="6" t="s">
        <v>14</v>
      </c>
      <c r="H45" s="60">
        <f>M10</f>
        <v>18</v>
      </c>
      <c r="I45" s="37" t="s">
        <v>15</v>
      </c>
      <c r="K45" s="36" t="s">
        <v>64</v>
      </c>
      <c r="L45" s="100">
        <v>1.1000000000000001</v>
      </c>
    </row>
    <row r="46" spans="1:14" x14ac:dyDescent="0.55000000000000004">
      <c r="A46" s="65">
        <v>46</v>
      </c>
      <c r="D46" t="s">
        <v>65</v>
      </c>
      <c r="G46" s="59">
        <f>I31</f>
        <v>74</v>
      </c>
      <c r="H46" s="6" t="s">
        <v>66</v>
      </c>
      <c r="I46" s="101">
        <v>0.63</v>
      </c>
      <c r="K46" s="36" t="s">
        <v>67</v>
      </c>
      <c r="L46" s="100">
        <v>0.8</v>
      </c>
    </row>
    <row r="47" spans="1:14" ht="14.7" thickBot="1" x14ac:dyDescent="0.6">
      <c r="A47" s="65">
        <v>47</v>
      </c>
    </row>
    <row r="48" spans="1:14" ht="14.7" thickBot="1" x14ac:dyDescent="0.6">
      <c r="A48" s="65">
        <v>48</v>
      </c>
      <c r="C48" s="4" t="s">
        <v>57</v>
      </c>
      <c r="E48" s="45" t="s">
        <v>68</v>
      </c>
      <c r="F48" s="9" t="s">
        <v>69</v>
      </c>
      <c r="G48" s="9"/>
      <c r="H48" s="58">
        <f>I41*L43*L45*L46</f>
        <v>88704.000000000015</v>
      </c>
      <c r="I48" s="47" t="s">
        <v>7</v>
      </c>
    </row>
    <row r="49" spans="1:14" ht="14.7" thickBot="1" x14ac:dyDescent="0.6">
      <c r="A49" s="65">
        <v>49</v>
      </c>
    </row>
    <row r="50" spans="1:14" ht="14.7" thickBot="1" x14ac:dyDescent="0.6">
      <c r="A50" s="65">
        <v>50</v>
      </c>
      <c r="E50" s="103" t="s">
        <v>70</v>
      </c>
      <c r="F50" s="9"/>
      <c r="G50" s="104" t="str">
        <f>IF(M38&lt;H48,"Sí, ADMISIBLE","No, NO ADMISIBLE")</f>
        <v>Sí, ADMISIBLE</v>
      </c>
      <c r="H50" s="8"/>
      <c r="J50" s="4" t="s">
        <v>71</v>
      </c>
      <c r="K50" s="4"/>
      <c r="L50" s="61">
        <f>H48/M38</f>
        <v>1.2284614738554824</v>
      </c>
    </row>
    <row r="51" spans="1:14" ht="9" customHeight="1" x14ac:dyDescent="0.55000000000000004">
      <c r="A51" s="65">
        <v>51</v>
      </c>
    </row>
    <row r="52" spans="1:14" x14ac:dyDescent="0.55000000000000004">
      <c r="A52" s="65">
        <v>52</v>
      </c>
      <c r="B52" t="s">
        <v>72</v>
      </c>
      <c r="E52" s="105" t="s">
        <v>101</v>
      </c>
      <c r="G52" s="88" t="s">
        <v>102</v>
      </c>
      <c r="I52" s="88" t="s">
        <v>73</v>
      </c>
    </row>
    <row r="53" spans="1:14" x14ac:dyDescent="0.55000000000000004">
      <c r="A53" s="65">
        <v>53</v>
      </c>
    </row>
    <row r="54" spans="1:14" ht="14.7" thickBot="1" x14ac:dyDescent="0.6">
      <c r="A54" s="91">
        <v>54</v>
      </c>
      <c r="D54" s="64" t="s">
        <v>74</v>
      </c>
      <c r="E54" s="64"/>
      <c r="F54" s="64" t="s">
        <v>108</v>
      </c>
      <c r="G54" s="64"/>
      <c r="H54" s="64"/>
      <c r="I54" s="64"/>
      <c r="J54" s="56">
        <f xml:space="preserve"> (I28/2) + (I27 + I34/1000 + (I26+15)) * (I25 - M9)/I25</f>
        <v>43.235621875</v>
      </c>
      <c r="K54" s="64" t="s">
        <v>19</v>
      </c>
      <c r="L54" s="64"/>
    </row>
    <row r="55" spans="1:14" ht="14.7" thickBot="1" x14ac:dyDescent="0.6">
      <c r="A55" s="65">
        <v>55</v>
      </c>
      <c r="D55" s="4" t="s">
        <v>75</v>
      </c>
      <c r="E55" s="4"/>
      <c r="F55" s="4"/>
      <c r="G55" s="4"/>
      <c r="H55" s="29" t="s">
        <v>76</v>
      </c>
      <c r="I55" s="30" t="s">
        <v>77</v>
      </c>
      <c r="J55" s="57">
        <f>J54/4</f>
        <v>10.80890546875</v>
      </c>
      <c r="K55" s="9" t="s">
        <v>19</v>
      </c>
      <c r="L55" s="7" t="s">
        <v>48</v>
      </c>
      <c r="M55" s="58">
        <f>J55 * 9806</f>
        <v>105992.12702656251</v>
      </c>
      <c r="N55" s="8" t="s">
        <v>7</v>
      </c>
    </row>
    <row r="56" spans="1:14" ht="9.6" customHeight="1" x14ac:dyDescent="0.55000000000000004">
      <c r="A56" s="65">
        <v>56</v>
      </c>
    </row>
    <row r="57" spans="1:14" x14ac:dyDescent="0.55000000000000004">
      <c r="A57" s="65">
        <v>57</v>
      </c>
      <c r="D57" t="s">
        <v>78</v>
      </c>
      <c r="G57" s="6" t="s">
        <v>52</v>
      </c>
      <c r="H57" s="60">
        <f>M7</f>
        <v>400</v>
      </c>
      <c r="I57" s="37" t="s">
        <v>2</v>
      </c>
    </row>
    <row r="58" spans="1:14" ht="14.7" thickBot="1" x14ac:dyDescent="0.6">
      <c r="A58" s="65">
        <v>58</v>
      </c>
      <c r="G58" s="6" t="s">
        <v>79</v>
      </c>
      <c r="H58" s="92">
        <v>160</v>
      </c>
      <c r="I58" s="37" t="s">
        <v>15</v>
      </c>
      <c r="K58" s="36" t="s">
        <v>80</v>
      </c>
      <c r="L58" s="100">
        <v>0.77</v>
      </c>
    </row>
    <row r="59" spans="1:14" ht="14.7" thickBot="1" x14ac:dyDescent="0.6">
      <c r="A59" s="65">
        <v>59</v>
      </c>
      <c r="C59" s="4" t="s">
        <v>81</v>
      </c>
      <c r="E59" s="45" t="s">
        <v>82</v>
      </c>
      <c r="F59" s="9" t="s">
        <v>83</v>
      </c>
      <c r="G59" s="9"/>
      <c r="H59" s="58">
        <f>I41*L43*L58*L46</f>
        <v>62092.800000000003</v>
      </c>
      <c r="I59" s="47" t="s">
        <v>7</v>
      </c>
    </row>
    <row r="60" spans="1:14" ht="14.7" thickBot="1" x14ac:dyDescent="0.6">
      <c r="A60" s="65">
        <v>60</v>
      </c>
      <c r="E60" s="103" t="s">
        <v>70</v>
      </c>
      <c r="F60" s="9"/>
      <c r="G60" s="9" t="str">
        <f>IF(M55&lt;H59,"Sí, ADMISIBLE","No, NO ADMISIBLE")</f>
        <v>No, NO ADMISIBLE</v>
      </c>
      <c r="H60" s="8"/>
      <c r="J60" s="4" t="s">
        <v>84</v>
      </c>
      <c r="K60" s="4"/>
      <c r="L60" s="61">
        <f>H59/M55</f>
        <v>0.58582464322504857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54" zoomScaleNormal="54" workbookViewId="0">
      <selection activeCell="Y70" sqref="Y70"/>
    </sheetView>
  </sheetViews>
  <sheetFormatPr baseColWidth="10" defaultColWidth="9.15625" defaultRowHeight="14.4" x14ac:dyDescent="0.55000000000000004"/>
  <cols>
    <col min="2" max="2" width="11.41796875" customWidth="1"/>
    <col min="3" max="3" width="10.15625" bestFit="1" customWidth="1"/>
    <col min="7" max="7" width="9.578125" bestFit="1" customWidth="1"/>
    <col min="8" max="8" width="11.83984375" bestFit="1" customWidth="1"/>
    <col min="12" max="12" width="10.15625" bestFit="1" customWidth="1"/>
  </cols>
  <sheetData>
    <row r="1" spans="1:13" x14ac:dyDescent="0.55000000000000004">
      <c r="A1" t="s">
        <v>0</v>
      </c>
      <c r="C1" t="s">
        <v>85</v>
      </c>
      <c r="E1" t="s">
        <v>8</v>
      </c>
    </row>
    <row r="3" spans="1:13" x14ac:dyDescent="0.55000000000000004">
      <c r="A3" t="s">
        <v>86</v>
      </c>
      <c r="B3" t="str">
        <f>VLOOKUP($C$25,Listado!B3:C22,2,FALSE)</f>
        <v>Huertas Luna, Antonio</v>
      </c>
      <c r="F3" t="s">
        <v>87</v>
      </c>
      <c r="G3" s="6"/>
      <c r="I3" t="s">
        <v>88</v>
      </c>
      <c r="J3" s="5"/>
    </row>
    <row r="4" spans="1:13" x14ac:dyDescent="0.55000000000000004">
      <c r="J4" s="5"/>
    </row>
    <row r="5" spans="1:13" ht="18" customHeight="1" x14ac:dyDescent="0.55000000000000004">
      <c r="A5" s="118" t="s">
        <v>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3" ht="18" customHeight="1" x14ac:dyDescent="0.55000000000000004">
      <c r="A6" t="s">
        <v>89</v>
      </c>
      <c r="B6" s="52"/>
      <c r="C6" s="52"/>
      <c r="D6" s="52"/>
      <c r="E6" s="52"/>
      <c r="F6" s="52"/>
      <c r="G6" s="52"/>
      <c r="H6" s="52"/>
      <c r="I6" s="51" t="s">
        <v>103</v>
      </c>
      <c r="K6" s="11"/>
      <c r="L6" s="63">
        <f xml:space="preserve"> 400 + (100 * INT($C$29/5))</f>
        <v>400</v>
      </c>
      <c r="M6" s="52" t="s">
        <v>2</v>
      </c>
    </row>
    <row r="7" spans="1:13" ht="18" customHeight="1" x14ac:dyDescent="0.55000000000000004">
      <c r="A7" t="s">
        <v>10</v>
      </c>
      <c r="B7" s="52"/>
      <c r="C7" s="52"/>
      <c r="D7" s="52"/>
      <c r="E7" s="52"/>
      <c r="F7" s="52"/>
      <c r="G7" s="52"/>
      <c r="H7" s="52"/>
      <c r="J7" s="51" t="s">
        <v>104</v>
      </c>
      <c r="K7" s="11"/>
      <c r="L7" s="63">
        <f>5+INT($C$29/4)</f>
        <v>5</v>
      </c>
      <c r="M7" s="52"/>
    </row>
    <row r="8" spans="1:13" ht="18" customHeight="1" x14ac:dyDescent="0.55000000000000004">
      <c r="A8" t="s">
        <v>91</v>
      </c>
      <c r="B8" s="52"/>
      <c r="C8" s="52"/>
      <c r="D8" s="52"/>
      <c r="E8" s="52"/>
      <c r="F8" s="52"/>
      <c r="G8" s="52"/>
      <c r="H8" s="52"/>
      <c r="I8" s="52"/>
      <c r="J8" s="51" t="s">
        <v>105</v>
      </c>
      <c r="K8" s="11"/>
      <c r="L8" s="12">
        <f>1+(0.1*$C$29)</f>
        <v>1.3</v>
      </c>
      <c r="M8" s="52" t="s">
        <v>3</v>
      </c>
    </row>
    <row r="9" spans="1:13" ht="18" customHeight="1" x14ac:dyDescent="0.55000000000000004">
      <c r="A9" t="s">
        <v>92</v>
      </c>
      <c r="B9" s="52"/>
      <c r="C9" s="52"/>
      <c r="D9" s="52"/>
      <c r="E9" s="52"/>
      <c r="F9" s="52"/>
      <c r="G9" t="s">
        <v>13</v>
      </c>
      <c r="H9" s="52"/>
      <c r="I9" s="52"/>
      <c r="J9" t="s">
        <v>106</v>
      </c>
      <c r="K9" s="11"/>
      <c r="L9" s="63">
        <f>10+(2*$C$26)</f>
        <v>18</v>
      </c>
      <c r="M9" s="52" t="s">
        <v>15</v>
      </c>
    </row>
    <row r="10" spans="1:13" ht="18" customHeight="1" x14ac:dyDescent="0.55000000000000004">
      <c r="A10" t="s">
        <v>11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 ht="18" customHeight="1" x14ac:dyDescent="0.55000000000000004">
      <c r="B11" s="52" t="s">
        <v>16</v>
      </c>
      <c r="C11" s="52" t="s">
        <v>17</v>
      </c>
      <c r="D11" s="52" t="s">
        <v>3</v>
      </c>
      <c r="E11" s="52"/>
      <c r="F11" s="52"/>
      <c r="G11" s="52"/>
      <c r="H11" s="52"/>
      <c r="I11" s="52"/>
      <c r="J11" s="52"/>
      <c r="K11" s="52"/>
      <c r="L11" s="52"/>
      <c r="M11" s="52"/>
    </row>
    <row r="12" spans="1:13" ht="18" customHeight="1" x14ac:dyDescent="0.55000000000000004">
      <c r="B12" t="s">
        <v>18</v>
      </c>
      <c r="C12" t="s">
        <v>94</v>
      </c>
      <c r="D12" s="52"/>
      <c r="E12" s="52" t="s">
        <v>19</v>
      </c>
      <c r="F12" s="52"/>
      <c r="G12" s="52"/>
      <c r="H12" s="52"/>
      <c r="I12" s="52"/>
      <c r="J12" s="52"/>
      <c r="K12" s="52"/>
      <c r="L12" s="52"/>
      <c r="M12" s="52"/>
    </row>
    <row r="13" spans="1:13" ht="18" customHeight="1" x14ac:dyDescent="0.55000000000000004">
      <c r="B13" t="s">
        <v>20</v>
      </c>
      <c r="C13" t="s">
        <v>95</v>
      </c>
      <c r="D13" s="52"/>
      <c r="E13" s="52" t="s">
        <v>19</v>
      </c>
      <c r="F13" s="52"/>
      <c r="G13" s="52"/>
      <c r="H13" s="52"/>
      <c r="I13" s="52"/>
      <c r="J13" s="52"/>
      <c r="K13" s="52"/>
      <c r="L13" s="52"/>
      <c r="M13" s="52"/>
    </row>
    <row r="14" spans="1:13" ht="18" customHeight="1" x14ac:dyDescent="0.55000000000000004">
      <c r="B14" t="s">
        <v>21</v>
      </c>
      <c r="C14" t="s">
        <v>96</v>
      </c>
      <c r="D14" s="52"/>
      <c r="E14" s="52" t="s">
        <v>19</v>
      </c>
      <c r="F14" s="52"/>
      <c r="G14" s="52"/>
      <c r="H14" s="52"/>
      <c r="I14" s="52"/>
      <c r="J14" s="52"/>
      <c r="K14" s="52"/>
      <c r="L14" s="52"/>
      <c r="M14" s="52"/>
    </row>
    <row r="15" spans="1:13" ht="18" customHeight="1" x14ac:dyDescent="0.55000000000000004">
      <c r="B15" t="s">
        <v>22</v>
      </c>
      <c r="D15" s="52"/>
      <c r="E15" t="s">
        <v>97</v>
      </c>
      <c r="F15" s="52"/>
      <c r="G15" s="52"/>
      <c r="H15" s="52" t="s">
        <v>6</v>
      </c>
      <c r="I15" s="52"/>
      <c r="J15" s="52"/>
      <c r="K15" s="52"/>
      <c r="L15" s="52"/>
      <c r="M15" s="52"/>
    </row>
    <row r="16" spans="1:13" ht="18" customHeight="1" x14ac:dyDescent="0.55000000000000004">
      <c r="B16" t="s">
        <v>23</v>
      </c>
      <c r="D16" s="52"/>
      <c r="E16" t="s">
        <v>98</v>
      </c>
      <c r="F16" s="52"/>
      <c r="G16" s="52"/>
      <c r="H16" s="52" t="s">
        <v>6</v>
      </c>
      <c r="I16" s="52"/>
      <c r="J16" s="52"/>
      <c r="K16" s="52"/>
      <c r="L16" s="52"/>
      <c r="M16" s="52"/>
    </row>
    <row r="17" spans="1:13" ht="15" customHeight="1" x14ac:dyDescent="0.55000000000000004">
      <c r="A17" s="52"/>
      <c r="B17" t="s">
        <v>24</v>
      </c>
      <c r="D17" s="52"/>
      <c r="F17" t="s">
        <v>99</v>
      </c>
      <c r="G17" s="52"/>
      <c r="H17" s="52" t="s">
        <v>25</v>
      </c>
      <c r="I17" s="52"/>
      <c r="J17" s="52"/>
      <c r="K17" s="52"/>
      <c r="L17" s="52"/>
      <c r="M17" s="52"/>
    </row>
    <row r="18" spans="1:13" ht="15" customHeight="1" x14ac:dyDescent="0.55000000000000004">
      <c r="A18" s="52"/>
      <c r="D18" s="52"/>
      <c r="G18" s="52"/>
      <c r="H18" s="52"/>
      <c r="I18" s="52"/>
      <c r="J18" s="52"/>
      <c r="K18" s="52"/>
      <c r="L18" s="52"/>
      <c r="M18" s="52"/>
    </row>
    <row r="19" spans="1:13" ht="15" customHeight="1" x14ac:dyDescent="0.55000000000000004">
      <c r="A19" s="52" t="s">
        <v>26</v>
      </c>
      <c r="D19" s="52"/>
      <c r="G19" s="52"/>
      <c r="H19" s="52"/>
      <c r="I19" s="52"/>
      <c r="J19" s="52"/>
      <c r="K19" s="52"/>
      <c r="L19" s="52"/>
      <c r="M19" s="52"/>
    </row>
    <row r="20" spans="1:13" ht="15" customHeight="1" x14ac:dyDescent="0.55000000000000004">
      <c r="A20" s="52"/>
      <c r="B20" t="s">
        <v>29</v>
      </c>
      <c r="D20" s="52"/>
      <c r="G20" s="52"/>
      <c r="H20" s="52"/>
      <c r="I20" s="52"/>
      <c r="J20" s="52"/>
      <c r="K20" s="52"/>
      <c r="L20" s="52"/>
      <c r="M20" s="52"/>
    </row>
    <row r="21" spans="1:13" ht="15" customHeight="1" x14ac:dyDescent="0.55000000000000004">
      <c r="A21" s="52"/>
      <c r="B21" t="s">
        <v>100</v>
      </c>
      <c r="D21" s="52"/>
      <c r="F21" s="52"/>
      <c r="G21" s="52"/>
      <c r="H21" s="52"/>
      <c r="I21" s="52"/>
      <c r="J21" s="52"/>
      <c r="K21" s="52"/>
      <c r="L21" s="52"/>
      <c r="M21" s="52"/>
    </row>
    <row r="22" spans="1:13" x14ac:dyDescent="0.55000000000000004">
      <c r="C22" t="s">
        <v>27</v>
      </c>
    </row>
    <row r="23" spans="1:13" x14ac:dyDescent="0.55000000000000004">
      <c r="C23" t="s">
        <v>28</v>
      </c>
      <c r="H23" s="6"/>
      <c r="K23" s="75"/>
      <c r="L23" s="76"/>
    </row>
    <row r="24" spans="1:13" x14ac:dyDescent="0.55000000000000004">
      <c r="H24" s="6"/>
      <c r="K24" s="75"/>
      <c r="L24" s="76"/>
    </row>
    <row r="25" spans="1:13" x14ac:dyDescent="0.55000000000000004">
      <c r="B25" t="s">
        <v>1</v>
      </c>
      <c r="C25" s="1" t="s">
        <v>166</v>
      </c>
      <c r="G25" s="2"/>
      <c r="I25" s="2"/>
      <c r="J25" s="6"/>
    </row>
    <row r="26" spans="1:13" x14ac:dyDescent="0.55000000000000004">
      <c r="B26" s="13" t="s">
        <v>93</v>
      </c>
      <c r="C26" s="14" t="str">
        <f>MID($C$25,1,1)</f>
        <v>4</v>
      </c>
    </row>
    <row r="27" spans="1:13" x14ac:dyDescent="0.55000000000000004">
      <c r="B27" s="15" t="s">
        <v>4</v>
      </c>
      <c r="C27" s="16" t="str">
        <f>MID($C$25,3,1)</f>
        <v>8</v>
      </c>
      <c r="E27" s="19" t="s">
        <v>16</v>
      </c>
      <c r="F27" s="20"/>
      <c r="G27" s="21" t="s">
        <v>12</v>
      </c>
      <c r="H27" s="21">
        <f xml:space="preserve"> 8 + C27</f>
        <v>16</v>
      </c>
      <c r="I27" s="22" t="s">
        <v>3</v>
      </c>
    </row>
    <row r="28" spans="1:13" x14ac:dyDescent="0.55000000000000004">
      <c r="B28" s="15" t="s">
        <v>30</v>
      </c>
      <c r="C28" s="16" t="str">
        <f>MID($C$25,5,1)</f>
        <v>1</v>
      </c>
      <c r="E28" s="23" t="s">
        <v>18</v>
      </c>
      <c r="F28" s="77"/>
      <c r="G28" s="78" t="s">
        <v>32</v>
      </c>
      <c r="H28" s="78">
        <f>16+(2*$C$28)</f>
        <v>18</v>
      </c>
      <c r="I28" s="24" t="s">
        <v>19</v>
      </c>
    </row>
    <row r="29" spans="1:13" x14ac:dyDescent="0.55000000000000004">
      <c r="B29" s="15" t="s">
        <v>90</v>
      </c>
      <c r="C29" s="16" t="str">
        <f>MID($C$25,6,1)</f>
        <v>3</v>
      </c>
      <c r="E29" s="23" t="s">
        <v>20</v>
      </c>
      <c r="F29" s="77"/>
      <c r="G29" s="78" t="s">
        <v>33</v>
      </c>
      <c r="H29" s="78">
        <f>1.6+(0.1*$C$30)</f>
        <v>2.2000000000000002</v>
      </c>
      <c r="I29" s="24" t="s">
        <v>19</v>
      </c>
    </row>
    <row r="30" spans="1:13" x14ac:dyDescent="0.55000000000000004">
      <c r="B30" s="15" t="s">
        <v>31</v>
      </c>
      <c r="C30" s="16" t="str">
        <f>MID($C$25,7,1)</f>
        <v>6</v>
      </c>
      <c r="E30" s="23" t="s">
        <v>21</v>
      </c>
      <c r="F30" s="77"/>
      <c r="G30" s="78" t="s">
        <v>34</v>
      </c>
      <c r="H30" s="78">
        <f>20+(1.5*$C$28)</f>
        <v>21.5</v>
      </c>
      <c r="I30" s="24" t="s">
        <v>19</v>
      </c>
    </row>
    <row r="31" spans="1:13" ht="14.7" x14ac:dyDescent="0.55000000000000004">
      <c r="B31" s="17" t="s">
        <v>5</v>
      </c>
      <c r="C31" s="18" t="str">
        <f>MID($C$25,8,1)</f>
        <v>9</v>
      </c>
      <c r="E31" s="23" t="s">
        <v>35</v>
      </c>
      <c r="F31" s="77"/>
      <c r="G31" s="77" t="s">
        <v>36</v>
      </c>
      <c r="H31" s="78">
        <f>500 + (20 * $C$28)</f>
        <v>520</v>
      </c>
      <c r="I31" s="24" t="s">
        <v>6</v>
      </c>
    </row>
    <row r="32" spans="1:13" ht="14.7" x14ac:dyDescent="0.55000000000000004">
      <c r="E32" s="23" t="s">
        <v>37</v>
      </c>
      <c r="F32" s="77"/>
      <c r="G32" s="77" t="s">
        <v>38</v>
      </c>
      <c r="H32" s="78">
        <f>600 + (20 *$C$28)</f>
        <v>620</v>
      </c>
      <c r="I32" s="24" t="s">
        <v>6</v>
      </c>
    </row>
    <row r="33" spans="2:13" x14ac:dyDescent="0.55000000000000004">
      <c r="E33" s="25" t="s">
        <v>39</v>
      </c>
      <c r="F33" s="26"/>
      <c r="G33" s="26"/>
      <c r="H33" s="27">
        <f>20+(6*$C$31)</f>
        <v>74</v>
      </c>
      <c r="I33" s="28" t="s">
        <v>25</v>
      </c>
    </row>
    <row r="35" spans="2:13" x14ac:dyDescent="0.55000000000000004">
      <c r="B35" t="s">
        <v>40</v>
      </c>
      <c r="D35" t="s">
        <v>41</v>
      </c>
      <c r="E35" s="6">
        <v>20</v>
      </c>
      <c r="G35" s="33" t="s">
        <v>42</v>
      </c>
      <c r="H35" s="34">
        <v>158.5</v>
      </c>
      <c r="I35" s="35" t="s">
        <v>43</v>
      </c>
    </row>
    <row r="37" spans="2:13" x14ac:dyDescent="0.55000000000000004">
      <c r="B37" t="s">
        <v>44</v>
      </c>
    </row>
    <row r="38" spans="2:13" ht="14.7" thickBot="1" x14ac:dyDescent="0.6">
      <c r="C38" t="s">
        <v>45</v>
      </c>
      <c r="E38" t="s">
        <v>107</v>
      </c>
      <c r="I38" s="5">
        <f xml:space="preserve"> (H30/2) + (H29 + H35/1000 + H28) * (H27 - L8)/H27</f>
        <v>29.454371875</v>
      </c>
      <c r="J38" t="s">
        <v>19</v>
      </c>
    </row>
    <row r="39" spans="2:13" ht="14.7" thickBot="1" x14ac:dyDescent="0.6">
      <c r="C39" s="4" t="s">
        <v>46</v>
      </c>
      <c r="D39" s="4"/>
      <c r="E39" s="4"/>
      <c r="F39" s="4"/>
      <c r="G39" s="29" t="s">
        <v>56</v>
      </c>
      <c r="H39" s="30" t="s">
        <v>47</v>
      </c>
      <c r="I39" s="31">
        <f>I38/4</f>
        <v>7.3635929687499999</v>
      </c>
      <c r="J39" s="9" t="s">
        <v>19</v>
      </c>
      <c r="K39" s="7" t="s">
        <v>48</v>
      </c>
      <c r="L39" s="32">
        <f>I39 * 9806</f>
        <v>72207.392651562506</v>
      </c>
      <c r="M39" s="8" t="s">
        <v>7</v>
      </c>
    </row>
    <row r="41" spans="2:13" x14ac:dyDescent="0.55000000000000004">
      <c r="C41" t="str">
        <f>"Carril A "&amp;L7&amp;"5"</f>
        <v>Carril A 55</v>
      </c>
      <c r="E41" s="2" t="s">
        <v>53</v>
      </c>
      <c r="F41" s="6" t="str">
        <f>L7&amp;5</f>
        <v>55</v>
      </c>
      <c r="G41" t="s">
        <v>2</v>
      </c>
      <c r="H41" s="2" t="s">
        <v>54</v>
      </c>
      <c r="I41" s="6">
        <v>5</v>
      </c>
      <c r="J41" t="s">
        <v>2</v>
      </c>
      <c r="K41" s="36" t="s">
        <v>55</v>
      </c>
      <c r="L41" s="34">
        <f xml:space="preserve"> F41 - 2*I41</f>
        <v>45</v>
      </c>
      <c r="M41" s="35" t="s">
        <v>2</v>
      </c>
    </row>
    <row r="42" spans="2:13" x14ac:dyDescent="0.55000000000000004">
      <c r="B42" t="s">
        <v>49</v>
      </c>
      <c r="E42" s="41" t="s">
        <v>50</v>
      </c>
      <c r="F42" s="42" t="s">
        <v>51</v>
      </c>
      <c r="G42" s="43"/>
      <c r="H42" s="44">
        <f xml:space="preserve"> 5.6*L6*L41</f>
        <v>100800</v>
      </c>
      <c r="I42" s="79" t="s">
        <v>7</v>
      </c>
    </row>
    <row r="43" spans="2:13" ht="14.7" x14ac:dyDescent="0.55000000000000004">
      <c r="C43" t="s">
        <v>58</v>
      </c>
      <c r="E43" s="6"/>
      <c r="F43" s="78" t="s">
        <v>36</v>
      </c>
      <c r="G43" s="6">
        <f>H31</f>
        <v>520</v>
      </c>
      <c r="H43" s="37" t="s">
        <v>59</v>
      </c>
      <c r="I43" s="73"/>
      <c r="J43" s="80" t="s">
        <v>61</v>
      </c>
      <c r="K43" s="6">
        <v>5.6</v>
      </c>
      <c r="L43" t="s">
        <v>6</v>
      </c>
    </row>
    <row r="44" spans="2:13" ht="14.7" x14ac:dyDescent="0.55000000000000004">
      <c r="E44" s="6"/>
      <c r="F44" s="78" t="s">
        <v>38</v>
      </c>
      <c r="G44" s="6">
        <f>H32</f>
        <v>620</v>
      </c>
      <c r="H44" s="37" t="s">
        <v>60</v>
      </c>
      <c r="J44" s="81" t="s">
        <v>62</v>
      </c>
      <c r="K44" s="38">
        <v>1</v>
      </c>
    </row>
    <row r="45" spans="2:13" x14ac:dyDescent="0.55000000000000004">
      <c r="C45" t="s">
        <v>63</v>
      </c>
      <c r="F45" s="82" t="s">
        <v>52</v>
      </c>
      <c r="G45" s="6">
        <f>L6</f>
        <v>400</v>
      </c>
      <c r="H45" s="37" t="s">
        <v>2</v>
      </c>
    </row>
    <row r="46" spans="2:13" x14ac:dyDescent="0.55000000000000004">
      <c r="F46" s="82" t="s">
        <v>14</v>
      </c>
      <c r="G46" s="6">
        <f>L9</f>
        <v>18</v>
      </c>
      <c r="H46" s="37" t="s">
        <v>15</v>
      </c>
      <c r="J46" s="36" t="s">
        <v>64</v>
      </c>
      <c r="K46" s="39">
        <v>1.1000000000000001</v>
      </c>
    </row>
    <row r="47" spans="2:13" x14ac:dyDescent="0.55000000000000004">
      <c r="C47" t="s">
        <v>65</v>
      </c>
      <c r="F47" s="6">
        <f>H33</f>
        <v>74</v>
      </c>
      <c r="G47" s="6" t="s">
        <v>66</v>
      </c>
      <c r="H47" s="40">
        <v>0.63</v>
      </c>
      <c r="J47" s="83" t="s">
        <v>67</v>
      </c>
      <c r="K47" s="39">
        <v>0.8</v>
      </c>
    </row>
    <row r="48" spans="2:13" ht="14.7" thickBot="1" x14ac:dyDescent="0.6"/>
    <row r="49" spans="1:13" ht="14.7" thickBot="1" x14ac:dyDescent="0.6">
      <c r="B49" s="4" t="s">
        <v>57</v>
      </c>
      <c r="D49" s="45" t="s">
        <v>68</v>
      </c>
      <c r="E49" s="9" t="s">
        <v>69</v>
      </c>
      <c r="F49" s="9"/>
      <c r="G49" s="46">
        <f>H42*K44*K46*K47</f>
        <v>88704.000000000015</v>
      </c>
      <c r="H49" s="47" t="s">
        <v>7</v>
      </c>
    </row>
    <row r="50" spans="1:13" ht="14.7" thickBot="1" x14ac:dyDescent="0.6"/>
    <row r="51" spans="1:13" ht="14.7" thickBot="1" x14ac:dyDescent="0.6">
      <c r="D51" s="45" t="s">
        <v>70</v>
      </c>
      <c r="E51" s="9"/>
      <c r="F51" s="9" t="str">
        <f>IF(L39&lt;G49,"Sí, ADMISIBLE","No, NO ADMISIBLE")</f>
        <v>Sí, ADMISIBLE</v>
      </c>
      <c r="G51" s="8"/>
      <c r="I51" s="4" t="s">
        <v>71</v>
      </c>
      <c r="J51" s="4"/>
      <c r="K51" s="49">
        <f>G49/L39</f>
        <v>1.2284614738554824</v>
      </c>
    </row>
    <row r="53" spans="1:13" x14ac:dyDescent="0.55000000000000004">
      <c r="A53" t="s">
        <v>72</v>
      </c>
      <c r="D53" s="48" t="s">
        <v>101</v>
      </c>
      <c r="F53" t="s">
        <v>102</v>
      </c>
      <c r="H53" t="s">
        <v>73</v>
      </c>
    </row>
    <row r="55" spans="1:13" ht="14.7" thickBot="1" x14ac:dyDescent="0.6">
      <c r="C55" t="s">
        <v>74</v>
      </c>
      <c r="E55" t="s">
        <v>108</v>
      </c>
      <c r="I55" s="5">
        <f xml:space="preserve"> (H30/2) + (H29 + H35/1000 + H28+15) * (H27 - L8)/H27</f>
        <v>43.235621875</v>
      </c>
      <c r="J55" t="s">
        <v>19</v>
      </c>
    </row>
    <row r="56" spans="1:13" ht="14.7" thickBot="1" x14ac:dyDescent="0.6">
      <c r="C56" s="4" t="s">
        <v>75</v>
      </c>
      <c r="D56" s="4"/>
      <c r="E56" s="4"/>
      <c r="F56" s="4"/>
      <c r="G56" s="29" t="s">
        <v>76</v>
      </c>
      <c r="H56" s="30" t="s">
        <v>77</v>
      </c>
      <c r="I56" s="31">
        <f>I55/4</f>
        <v>10.80890546875</v>
      </c>
      <c r="J56" s="9" t="s">
        <v>19</v>
      </c>
      <c r="K56" s="7" t="s">
        <v>48</v>
      </c>
      <c r="L56" s="32">
        <f>I56 * 9806</f>
        <v>105992.12702656251</v>
      </c>
      <c r="M56" s="8" t="s">
        <v>7</v>
      </c>
    </row>
    <row r="58" spans="1:13" x14ac:dyDescent="0.55000000000000004">
      <c r="C58" t="s">
        <v>78</v>
      </c>
      <c r="F58" s="82" t="s">
        <v>52</v>
      </c>
      <c r="G58" s="6">
        <f>L6</f>
        <v>400</v>
      </c>
      <c r="H58" s="37" t="s">
        <v>2</v>
      </c>
    </row>
    <row r="59" spans="1:13" x14ac:dyDescent="0.55000000000000004">
      <c r="F59" s="82" t="s">
        <v>79</v>
      </c>
      <c r="G59" s="6">
        <v>160</v>
      </c>
      <c r="H59" s="37" t="s">
        <v>15</v>
      </c>
      <c r="J59" s="36" t="s">
        <v>80</v>
      </c>
      <c r="K59" s="39">
        <v>0.77</v>
      </c>
    </row>
    <row r="60" spans="1:13" ht="14.7" thickBot="1" x14ac:dyDescent="0.6"/>
    <row r="61" spans="1:13" ht="14.7" thickBot="1" x14ac:dyDescent="0.6">
      <c r="B61" s="4" t="s">
        <v>81</v>
      </c>
      <c r="D61" s="45" t="s">
        <v>82</v>
      </c>
      <c r="E61" s="9" t="s">
        <v>83</v>
      </c>
      <c r="F61" s="9"/>
      <c r="G61" s="46">
        <f>H42*K44*K59*K47</f>
        <v>62092.800000000003</v>
      </c>
      <c r="H61" s="47" t="s">
        <v>7</v>
      </c>
    </row>
    <row r="62" spans="1:13" ht="14.7" thickBot="1" x14ac:dyDescent="0.6"/>
    <row r="63" spans="1:13" ht="14.7" thickBot="1" x14ac:dyDescent="0.6">
      <c r="D63" s="45" t="s">
        <v>70</v>
      </c>
      <c r="E63" s="9"/>
      <c r="F63" s="9" t="str">
        <f>IF(L56&lt;G61,"Sí, ADMISIBLE","No, NO ADMISIBLE")</f>
        <v>No, NO ADMISIBLE</v>
      </c>
      <c r="G63" s="8"/>
      <c r="I63" s="4" t="s">
        <v>84</v>
      </c>
      <c r="J63" s="4"/>
      <c r="K63" s="49">
        <f>G61/L56</f>
        <v>0.58582464322504857</v>
      </c>
    </row>
  </sheetData>
  <mergeCells count="1">
    <mergeCell ref="A5:M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workbookViewId="0">
      <selection activeCell="E15" sqref="E15"/>
    </sheetView>
  </sheetViews>
  <sheetFormatPr baseColWidth="10" defaultRowHeight="14.4" x14ac:dyDescent="0.55000000000000004"/>
  <cols>
    <col min="4" max="4" width="8.68359375" customWidth="1"/>
    <col min="5" max="5" width="8.734375" customWidth="1"/>
  </cols>
  <sheetData>
    <row r="3" spans="2:5" ht="14.7" thickBot="1" x14ac:dyDescent="0.6">
      <c r="B3" s="119" t="s">
        <v>216</v>
      </c>
      <c r="C3" s="119"/>
      <c r="D3" s="119"/>
      <c r="E3" s="119"/>
    </row>
    <row r="4" spans="2:5" x14ac:dyDescent="0.55000000000000004">
      <c r="B4" s="128" t="s">
        <v>214</v>
      </c>
      <c r="C4" s="129"/>
      <c r="D4" s="130" t="s">
        <v>215</v>
      </c>
      <c r="E4" s="123" t="s">
        <v>210</v>
      </c>
    </row>
    <row r="5" spans="2:5" x14ac:dyDescent="0.55000000000000004">
      <c r="B5" s="126" t="s">
        <v>213</v>
      </c>
      <c r="C5" s="127"/>
      <c r="D5" s="131"/>
      <c r="E5" s="124"/>
    </row>
    <row r="6" spans="2:5" x14ac:dyDescent="0.55000000000000004">
      <c r="B6" s="106" t="s">
        <v>211</v>
      </c>
      <c r="C6" s="110" t="s">
        <v>212</v>
      </c>
      <c r="D6" s="132"/>
      <c r="E6" s="125"/>
    </row>
    <row r="7" spans="2:5" x14ac:dyDescent="0.55000000000000004">
      <c r="B7" s="120">
        <v>590</v>
      </c>
      <c r="C7" s="71" t="s">
        <v>207</v>
      </c>
      <c r="D7" s="111">
        <v>2.8</v>
      </c>
      <c r="E7" s="114">
        <v>0.5</v>
      </c>
    </row>
    <row r="8" spans="2:5" x14ac:dyDescent="0.55000000000000004">
      <c r="B8" s="121"/>
      <c r="C8" s="71">
        <v>410</v>
      </c>
      <c r="D8" s="111">
        <v>3.6</v>
      </c>
      <c r="E8" s="114">
        <v>0.63</v>
      </c>
    </row>
    <row r="9" spans="2:5" x14ac:dyDescent="0.55000000000000004">
      <c r="B9" s="121"/>
      <c r="C9" s="71">
        <v>490</v>
      </c>
      <c r="D9" s="111">
        <v>4.5</v>
      </c>
      <c r="E9" s="114">
        <v>0.8</v>
      </c>
    </row>
    <row r="10" spans="2:5" x14ac:dyDescent="0.55000000000000004">
      <c r="B10" s="122"/>
      <c r="C10" s="107">
        <v>590</v>
      </c>
      <c r="D10" s="112">
        <v>5.6</v>
      </c>
      <c r="E10" s="115">
        <v>1</v>
      </c>
    </row>
    <row r="11" spans="2:5" ht="14.7" thickBot="1" x14ac:dyDescent="0.6">
      <c r="B11" s="109" t="s">
        <v>209</v>
      </c>
      <c r="C11" s="108" t="s">
        <v>208</v>
      </c>
      <c r="D11" s="113">
        <v>7</v>
      </c>
      <c r="E11" s="116">
        <v>1.25</v>
      </c>
    </row>
  </sheetData>
  <mergeCells count="6">
    <mergeCell ref="B3:E3"/>
    <mergeCell ref="B7:B10"/>
    <mergeCell ref="E4:E6"/>
    <mergeCell ref="B5:C5"/>
    <mergeCell ref="B4:C4"/>
    <mergeCell ref="D4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E13" sqref="E13"/>
    </sheetView>
  </sheetViews>
  <sheetFormatPr baseColWidth="10" defaultRowHeight="14.4" x14ac:dyDescent="0.55000000000000004"/>
  <cols>
    <col min="2" max="2" width="17.3125" style="73" customWidth="1"/>
    <col min="3" max="3" width="23.20703125" customWidth="1"/>
  </cols>
  <sheetData>
    <row r="1" spans="1:3" ht="28.8" x14ac:dyDescent="0.55000000000000004">
      <c r="A1" s="71" t="s">
        <v>124</v>
      </c>
      <c r="B1" s="72" t="s">
        <v>125</v>
      </c>
      <c r="C1" s="71" t="s">
        <v>126</v>
      </c>
    </row>
    <row r="3" spans="1:3" x14ac:dyDescent="0.55000000000000004">
      <c r="A3" s="6">
        <v>1</v>
      </c>
      <c r="B3" s="74" t="s">
        <v>127</v>
      </c>
      <c r="C3" s="50" t="s">
        <v>128</v>
      </c>
    </row>
    <row r="4" spans="1:3" x14ac:dyDescent="0.55000000000000004">
      <c r="A4" s="6">
        <v>2</v>
      </c>
      <c r="B4" s="74" t="s">
        <v>129</v>
      </c>
      <c r="C4" s="50" t="s">
        <v>130</v>
      </c>
    </row>
    <row r="5" spans="1:3" x14ac:dyDescent="0.55000000000000004">
      <c r="A5" s="6">
        <v>3</v>
      </c>
      <c r="B5" s="74" t="s">
        <v>131</v>
      </c>
      <c r="C5" s="50" t="s">
        <v>132</v>
      </c>
    </row>
    <row r="6" spans="1:3" x14ac:dyDescent="0.55000000000000004">
      <c r="A6" s="6">
        <v>4</v>
      </c>
      <c r="B6" s="74" t="s">
        <v>133</v>
      </c>
      <c r="C6" s="50" t="s">
        <v>134</v>
      </c>
    </row>
    <row r="7" spans="1:3" x14ac:dyDescent="0.55000000000000004">
      <c r="A7" s="6">
        <v>5</v>
      </c>
      <c r="B7" s="74" t="s">
        <v>135</v>
      </c>
      <c r="C7" s="50" t="s">
        <v>136</v>
      </c>
    </row>
    <row r="8" spans="1:3" x14ac:dyDescent="0.55000000000000004">
      <c r="A8" s="6">
        <v>6</v>
      </c>
      <c r="B8" s="74" t="s">
        <v>137</v>
      </c>
      <c r="C8" s="50" t="s">
        <v>138</v>
      </c>
    </row>
    <row r="9" spans="1:3" x14ac:dyDescent="0.55000000000000004">
      <c r="A9" s="6">
        <v>7</v>
      </c>
      <c r="B9" s="74" t="s">
        <v>139</v>
      </c>
      <c r="C9" s="50" t="s">
        <v>140</v>
      </c>
    </row>
    <row r="10" spans="1:3" x14ac:dyDescent="0.55000000000000004">
      <c r="A10" s="6">
        <v>8</v>
      </c>
      <c r="B10" s="74" t="s">
        <v>141</v>
      </c>
      <c r="C10" s="50" t="s">
        <v>142</v>
      </c>
    </row>
    <row r="11" spans="1:3" x14ac:dyDescent="0.55000000000000004">
      <c r="A11" s="6">
        <v>9</v>
      </c>
      <c r="B11" s="74" t="s">
        <v>143</v>
      </c>
      <c r="C11" s="50" t="s">
        <v>144</v>
      </c>
    </row>
    <row r="12" spans="1:3" x14ac:dyDescent="0.55000000000000004">
      <c r="A12" s="6">
        <v>10</v>
      </c>
      <c r="B12" s="74" t="s">
        <v>145</v>
      </c>
      <c r="C12" s="50" t="s">
        <v>146</v>
      </c>
    </row>
    <row r="13" spans="1:3" x14ac:dyDescent="0.55000000000000004">
      <c r="A13" s="6">
        <v>11</v>
      </c>
      <c r="B13" s="74" t="s">
        <v>147</v>
      </c>
      <c r="C13" s="50" t="s">
        <v>148</v>
      </c>
    </row>
    <row r="14" spans="1:3" x14ac:dyDescent="0.55000000000000004">
      <c r="A14" s="6">
        <v>12</v>
      </c>
      <c r="B14" s="74" t="s">
        <v>149</v>
      </c>
      <c r="C14" s="50" t="s">
        <v>150</v>
      </c>
    </row>
    <row r="15" spans="1:3" x14ac:dyDescent="0.55000000000000004">
      <c r="A15" s="6">
        <v>13</v>
      </c>
      <c r="B15" s="74" t="s">
        <v>151</v>
      </c>
      <c r="C15" s="50" t="s">
        <v>152</v>
      </c>
    </row>
    <row r="16" spans="1:3" x14ac:dyDescent="0.55000000000000004">
      <c r="A16" s="6">
        <v>14</v>
      </c>
      <c r="B16" s="74" t="s">
        <v>166</v>
      </c>
      <c r="C16" s="50" t="s">
        <v>153</v>
      </c>
    </row>
    <row r="17" spans="1:3" x14ac:dyDescent="0.55000000000000004">
      <c r="A17" s="6">
        <v>15</v>
      </c>
      <c r="B17" s="74" t="s">
        <v>154</v>
      </c>
      <c r="C17" s="50" t="s">
        <v>155</v>
      </c>
    </row>
    <row r="18" spans="1:3" x14ac:dyDescent="0.55000000000000004">
      <c r="A18" s="6">
        <v>16</v>
      </c>
      <c r="B18" s="74" t="s">
        <v>156</v>
      </c>
      <c r="C18" s="50" t="s">
        <v>157</v>
      </c>
    </row>
    <row r="19" spans="1:3" x14ac:dyDescent="0.55000000000000004">
      <c r="A19" s="6">
        <v>17</v>
      </c>
      <c r="B19" s="74" t="s">
        <v>158</v>
      </c>
      <c r="C19" s="50" t="s">
        <v>159</v>
      </c>
    </row>
    <row r="20" spans="1:3" x14ac:dyDescent="0.55000000000000004">
      <c r="A20" s="6">
        <v>18</v>
      </c>
      <c r="B20" s="74" t="s">
        <v>160</v>
      </c>
      <c r="C20" s="50" t="s">
        <v>161</v>
      </c>
    </row>
    <row r="21" spans="1:3" x14ac:dyDescent="0.55000000000000004">
      <c r="A21" s="6">
        <v>19</v>
      </c>
      <c r="B21" s="74" t="s">
        <v>162</v>
      </c>
      <c r="C21" s="50" t="s">
        <v>163</v>
      </c>
    </row>
    <row r="22" spans="1:3" x14ac:dyDescent="0.55000000000000004">
      <c r="A22" s="6">
        <v>20</v>
      </c>
      <c r="B22" s="74" t="s">
        <v>164</v>
      </c>
      <c r="C22" s="50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Formulas</vt:lpstr>
      <vt:lpstr>Ejemplo</vt:lpstr>
      <vt:lpstr>Original</vt:lpstr>
      <vt:lpstr>Tabla c1</vt:lpstr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2023-08-21T20:55:57Z</dcterms:modified>
</cp:coreProperties>
</file>