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88" activeTab="1"/>
  </bookViews>
  <sheets>
    <sheet name="Formulas" sheetId="20" r:id="rId1"/>
    <sheet name="Ejemplo" sheetId="21" r:id="rId2"/>
    <sheet name="Original" sheetId="1" r:id="rId3"/>
    <sheet name="Listado" sheetId="1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8" i="21" l="1"/>
  <c r="E98" i="21"/>
  <c r="K97" i="21"/>
  <c r="F91" i="21"/>
  <c r="H95" i="21"/>
  <c r="J90" i="21"/>
  <c r="J89" i="21"/>
  <c r="L88" i="21"/>
  <c r="L87" i="21"/>
  <c r="G86" i="21"/>
  <c r="F83" i="21"/>
  <c r="K82" i="21"/>
  <c r="F82" i="21"/>
  <c r="D81" i="21"/>
  <c r="D78" i="21"/>
  <c r="I70" i="21"/>
  <c r="I69" i="21"/>
  <c r="H68" i="21"/>
  <c r="F9" i="21"/>
  <c r="E9" i="1"/>
  <c r="I66" i="21"/>
  <c r="I65" i="21"/>
  <c r="M64" i="21"/>
  <c r="I64" i="21"/>
  <c r="J63" i="21"/>
  <c r="F56" i="21"/>
  <c r="F55" i="21"/>
  <c r="F54" i="21"/>
  <c r="H51" i="21"/>
  <c r="H49" i="21"/>
  <c r="F46" i="21"/>
  <c r="G42" i="21" l="1"/>
  <c r="F42" i="21"/>
  <c r="H40" i="21"/>
  <c r="J39" i="21"/>
  <c r="G36" i="21"/>
  <c r="H33" i="21"/>
  <c r="H32" i="21"/>
  <c r="D31" i="21"/>
  <c r="F25" i="21"/>
  <c r="F19" i="21"/>
  <c r="F18" i="21"/>
  <c r="F10" i="21"/>
  <c r="M15" i="21"/>
  <c r="M14" i="21"/>
  <c r="M13" i="21"/>
  <c r="F7" i="21" s="1"/>
  <c r="M12" i="21"/>
  <c r="M11" i="21"/>
  <c r="M10" i="21"/>
  <c r="M9" i="21"/>
  <c r="M8" i="21"/>
  <c r="C4" i="21"/>
  <c r="G44" i="21"/>
  <c r="F36" i="21"/>
  <c r="D32" i="21"/>
  <c r="H31" i="21"/>
  <c r="E17" i="21"/>
  <c r="G41" i="21" s="1"/>
  <c r="I13" i="21"/>
  <c r="B3" i="1"/>
  <c r="G35" i="21" l="1"/>
  <c r="E17" i="20" l="1"/>
  <c r="G35" i="20" s="1"/>
  <c r="E35" i="1" l="1"/>
  <c r="L15" i="1"/>
  <c r="L14" i="1"/>
  <c r="L13" i="1"/>
  <c r="L12" i="1"/>
  <c r="L11" i="1"/>
  <c r="L10" i="1"/>
  <c r="L9" i="1"/>
  <c r="L8" i="1"/>
  <c r="E54" i="1" l="1"/>
  <c r="E53" i="1"/>
  <c r="E18" i="1"/>
  <c r="D17" i="1"/>
  <c r="H13" i="1"/>
  <c r="E55" i="1" s="1"/>
  <c r="G92" i="1" s="1"/>
  <c r="E10" i="1"/>
  <c r="G66" i="1"/>
  <c r="E7" i="1"/>
  <c r="K86" i="1" l="1"/>
  <c r="E25" i="1" l="1"/>
  <c r="F84" i="1" s="1"/>
  <c r="I62" i="1"/>
  <c r="H63" i="1" s="1"/>
  <c r="L63" i="1" l="1"/>
  <c r="H65" i="1" s="1"/>
  <c r="K85" i="1"/>
  <c r="H67" i="1"/>
  <c r="H68" i="1" s="1"/>
  <c r="G50" i="1"/>
  <c r="C76" i="1" s="1"/>
  <c r="E45" i="1"/>
  <c r="G48" i="1" s="1"/>
  <c r="F43" i="1"/>
  <c r="G31" i="1" l="1"/>
  <c r="C32" i="1"/>
  <c r="G32" i="1" s="1"/>
  <c r="E19" i="1"/>
  <c r="C31" i="1" s="1"/>
  <c r="I38" i="1" s="1"/>
  <c r="G33" i="1" l="1"/>
  <c r="F34" i="1"/>
  <c r="F40" i="1"/>
  <c r="H64" i="1" l="1"/>
  <c r="C79" i="1" l="1"/>
  <c r="E80" i="1" s="1"/>
  <c r="J80" i="1" s="1"/>
  <c r="G39" i="1"/>
  <c r="E81" i="1" l="1"/>
  <c r="J94" i="1" s="1"/>
  <c r="D95" i="1" s="1"/>
  <c r="I87" i="1"/>
  <c r="I88" i="1" s="1"/>
  <c r="E89" i="1" s="1"/>
</calcChain>
</file>

<file path=xl/sharedStrings.xml><?xml version="1.0" encoding="utf-8"?>
<sst xmlns="http://schemas.openxmlformats.org/spreadsheetml/2006/main" count="936" uniqueCount="322">
  <si>
    <t>D =</t>
  </si>
  <si>
    <t>C =</t>
  </si>
  <si>
    <t>H =</t>
  </si>
  <si>
    <t>Alumno:</t>
  </si>
  <si>
    <t>Fecha:</t>
  </si>
  <si>
    <t>Nota:</t>
  </si>
  <si>
    <t>A =</t>
  </si>
  <si>
    <t>B =</t>
  </si>
  <si>
    <t>F =</t>
  </si>
  <si>
    <t>G =</t>
  </si>
  <si>
    <t>E =</t>
  </si>
  <si>
    <t>m</t>
  </si>
  <si>
    <t>Años:</t>
  </si>
  <si>
    <t>Días útiles / año:</t>
  </si>
  <si>
    <t>Total ciclos:</t>
  </si>
  <si>
    <t>ciclos</t>
  </si>
  <si>
    <t>Estado de carga aparato:</t>
  </si>
  <si>
    <t>Clase ut.</t>
  </si>
  <si>
    <t>--&gt;</t>
  </si>
  <si>
    <t>Grupo del aparato:</t>
  </si>
  <si>
    <t>Mecanismo elevación:</t>
  </si>
  <si>
    <t>Horas de vida del aparato:</t>
  </si>
  <si>
    <t>h</t>
  </si>
  <si>
    <t>Horas de funcionamiento mecanismo:</t>
  </si>
  <si>
    <t>Clase utilización</t>
  </si>
  <si>
    <t>Estado de carga mec. elev:</t>
  </si>
  <si>
    <t>Grupo del mecanismo:</t>
  </si>
  <si>
    <t>=</t>
  </si>
  <si>
    <t>kN</t>
  </si>
  <si>
    <t>kN·m</t>
  </si>
  <si>
    <t>mm</t>
  </si>
  <si>
    <t>e =</t>
  </si>
  <si>
    <t>mm2</t>
  </si>
  <si>
    <t>mm4</t>
  </si>
  <si>
    <t>MPa</t>
  </si>
  <si>
    <t>Luz:</t>
  </si>
  <si>
    <t>L =</t>
  </si>
  <si>
    <t>DR =</t>
  </si>
  <si>
    <t>Distancia entre ruedas:</t>
  </si>
  <si>
    <t>Peso carro:</t>
  </si>
  <si>
    <t>Material:</t>
  </si>
  <si>
    <t>Acero</t>
  </si>
  <si>
    <t>Sut =</t>
  </si>
  <si>
    <t>Sy =</t>
  </si>
  <si>
    <t>Estado de carga:</t>
  </si>
  <si>
    <t>(moderado)</t>
  </si>
  <si>
    <t>Movimientos/hora:</t>
  </si>
  <si>
    <t>mov/h</t>
  </si>
  <si>
    <t>Vida del aparato:</t>
  </si>
  <si>
    <t>años</t>
  </si>
  <si>
    <t>años =</t>
  </si>
  <si>
    <t>sem/año</t>
  </si>
  <si>
    <t>dia/sem</t>
  </si>
  <si>
    <t>h/dia</t>
  </si>
  <si>
    <t>Velocidad elevación</t>
  </si>
  <si>
    <t>VL =</t>
  </si>
  <si>
    <t>m/s</t>
  </si>
  <si>
    <t>Tiempo aceleración:</t>
  </si>
  <si>
    <t>ta =</t>
  </si>
  <si>
    <t>s</t>
  </si>
  <si>
    <t>Flecha admisible:</t>
  </si>
  <si>
    <t>4 mm/m =</t>
  </si>
  <si>
    <t>L/250 =</t>
  </si>
  <si>
    <t>Horas/dia:</t>
  </si>
  <si>
    <t>Movimientos/día:</t>
  </si>
  <si>
    <t>(mov/h x h/dia)</t>
  </si>
  <si>
    <t>ciclos/día</t>
  </si>
  <si>
    <t>días/año</t>
  </si>
  <si>
    <t>años x días/año x ciclos/día =</t>
  </si>
  <si>
    <t>Q</t>
  </si>
  <si>
    <t>Q2</t>
  </si>
  <si>
    <t>Clasificación UNE aparato</t>
  </si>
  <si>
    <t>Clasificación UNE mecanismo de elevación</t>
  </si>
  <si>
    <t>años x días/año x h/día =</t>
  </si>
  <si>
    <t>L</t>
  </si>
  <si>
    <t>L2</t>
  </si>
  <si>
    <t>Coeficiente de mayoración de cargas</t>
  </si>
  <si>
    <t>gamma_c</t>
  </si>
  <si>
    <t>Factor epsilon:</t>
  </si>
  <si>
    <t>VL</t>
  </si>
  <si>
    <t>Grúa puente</t>
  </si>
  <si>
    <t>epsilon</t>
  </si>
  <si>
    <t>Coeficiente dinámico:</t>
  </si>
  <si>
    <t>psi =</t>
  </si>
  <si>
    <t>1 + (epsilon x VL) =</t>
  </si>
  <si>
    <t>Coeficiente seguridad</t>
  </si>
  <si>
    <t>Cs =</t>
  </si>
  <si>
    <t>Tensión admisible:</t>
  </si>
  <si>
    <t>sigma_adm =</t>
  </si>
  <si>
    <t>Sy / Cs =</t>
  </si>
  <si>
    <t>Geometría sección:</t>
  </si>
  <si>
    <t>Área sección:</t>
  </si>
  <si>
    <t xml:space="preserve">MdI: </t>
  </si>
  <si>
    <t>I =</t>
  </si>
  <si>
    <t>La tensión máxima es la provocada por flexión, supuesto el carro en el centro.</t>
  </si>
  <si>
    <t>Hay tres conceptos de carga: peso propio de la viga, peso del carro y carga útil.</t>
  </si>
  <si>
    <t>Los dos primeros son fijos. El tercero depende de P y le afecta el coeficiente dinámico.</t>
  </si>
  <si>
    <t>Calculamos los flectores de cada sumando.</t>
  </si>
  <si>
    <t>Peso propio de una viga:</t>
  </si>
  <si>
    <t>A x L x ro =</t>
  </si>
  <si>
    <t>Peso específico acero:</t>
  </si>
  <si>
    <t>ro =</t>
  </si>
  <si>
    <t>kg/m3</t>
  </si>
  <si>
    <t>kN/m3</t>
  </si>
  <si>
    <t>Reacción en apoyo por peso propio:</t>
  </si>
  <si>
    <t>Rpp =</t>
  </si>
  <si>
    <t>Pp =</t>
  </si>
  <si>
    <t>Pp/2 =</t>
  </si>
  <si>
    <t>Flector por peso propio:</t>
  </si>
  <si>
    <t>Mpp =</t>
  </si>
  <si>
    <t>Pc =</t>
  </si>
  <si>
    <t>Reacción en apoyo por peso carro:</t>
  </si>
  <si>
    <t>Rpc =</t>
  </si>
  <si>
    <t>Pc/2 =</t>
  </si>
  <si>
    <t>Flector por peso carro:</t>
  </si>
  <si>
    <t>Mpc =</t>
  </si>
  <si>
    <t>Rpc x [(L-DR)/2] =</t>
  </si>
  <si>
    <t>Reacción en apoyo por carga útil:</t>
  </si>
  <si>
    <t>Pu =</t>
  </si>
  <si>
    <t>Flector por carga útil:</t>
  </si>
  <si>
    <t>Mpu =</t>
  </si>
  <si>
    <t>Rpu x [(L-DR)/2]</t>
  </si>
  <si>
    <t>Flector total:</t>
  </si>
  <si>
    <t>Mp =</t>
  </si>
  <si>
    <t>gamma_c x (Mpp + Mpc + Mpu)</t>
  </si>
  <si>
    <t>Flector admisible (por resistencia):</t>
  </si>
  <si>
    <t>Madm =</t>
  </si>
  <si>
    <t>Igualando Mp con Madm, despejando Mpu</t>
  </si>
  <si>
    <t xml:space="preserve">Mpu = </t>
  </si>
  <si>
    <t>(Madm / gamma_c) - Mpp - Mpc</t>
  </si>
  <si>
    <t>Rpu =</t>
  </si>
  <si>
    <t>Mpu / [(L-DR)/2]=</t>
  </si>
  <si>
    <t>Rpu = Pu/2</t>
  </si>
  <si>
    <t>Pu = 2 x Rpu =</t>
  </si>
  <si>
    <t>CARGA ÚTIL, ATENDIENDO A RESISTENCIA</t>
  </si>
  <si>
    <t>Para el cálculo de la deflexión, simplificaremos a carga central, sin tener en cuenta el coeficiente dinámico ni el de mayoración de cargas.</t>
  </si>
  <si>
    <t>Flecha provocada por el peso propio.</t>
  </si>
  <si>
    <t>y_adm =</t>
  </si>
  <si>
    <t>La flecha admisible es</t>
  </si>
  <si>
    <t>y_pp =</t>
  </si>
  <si>
    <t>(5 w L4)/(384 E I) =</t>
  </si>
  <si>
    <t>Módulo Young</t>
  </si>
  <si>
    <t>(5 Pp L3) / (384 E I) =</t>
  </si>
  <si>
    <t>Flecha por el peso del carro.</t>
  </si>
  <si>
    <t>y_pc =</t>
  </si>
  <si>
    <t>(Pc L3)/(48 E I) =</t>
  </si>
  <si>
    <t>Flecha por carga</t>
  </si>
  <si>
    <t>y_pu =</t>
  </si>
  <si>
    <t>y_adm - (y_pp + y_pc) =</t>
  </si>
  <si>
    <t>(48 E I y_pu)/ L3 =</t>
  </si>
  <si>
    <t>Carga que provoca esa flecha:</t>
  </si>
  <si>
    <t>CARGA ÚTIL, ATENDIENDO A DEFORMACIÓN</t>
  </si>
  <si>
    <t>Comprobación por cortante</t>
  </si>
  <si>
    <t>Área resistente a cortante</t>
  </si>
  <si>
    <t>Av =</t>
  </si>
  <si>
    <t>Reacción máxima en los apoyos (carro a DR/2 del apoyo)</t>
  </si>
  <si>
    <t>R =</t>
  </si>
  <si>
    <t>tau =</t>
  </si>
  <si>
    <t>R/Av =</t>
  </si>
  <si>
    <t>ADMISIBLE</t>
  </si>
  <si>
    <t>10 + B</t>
  </si>
  <si>
    <t xml:space="preserve">alfa_e = </t>
  </si>
  <si>
    <t>DNI =</t>
  </si>
  <si>
    <t>5 + (2 x F) =</t>
  </si>
  <si>
    <t>N</t>
  </si>
  <si>
    <t>IPN de canto, h = 300 + [20 x int(F/2)] =</t>
  </si>
  <si>
    <t>Area</t>
  </si>
  <si>
    <t>MdI</t>
  </si>
  <si>
    <t>Módulo resistente, W =</t>
  </si>
  <si>
    <t>mm3</t>
  </si>
  <si>
    <t>h1 =</t>
  </si>
  <si>
    <t>Av = h1 x e =</t>
  </si>
  <si>
    <t>S275 J0</t>
  </si>
  <si>
    <t>Q =</t>
  </si>
  <si>
    <t>3 + (B/2) =</t>
  </si>
  <si>
    <t>Fracción de tiempo que funciona</t>
  </si>
  <si>
    <t>(Caso I, UNE 58132)</t>
  </si>
  <si>
    <t>(40 sem x 5 dia/sem)</t>
  </si>
  <si>
    <t>U4</t>
  </si>
  <si>
    <t>A4</t>
  </si>
  <si>
    <t>T6</t>
  </si>
  <si>
    <t>M6</t>
  </si>
  <si>
    <t>Área de cortante:</t>
  </si>
  <si>
    <t>Peso del carro:</t>
  </si>
  <si>
    <t>Qc =</t>
  </si>
  <si>
    <t>Carga útil:</t>
  </si>
  <si>
    <t>psi x Qu</t>
  </si>
  <si>
    <t>(función de Qu)</t>
  </si>
  <si>
    <t>sigma_adm = Madm / W</t>
  </si>
  <si>
    <t>Madm = sigma_adm x W</t>
  </si>
  <si>
    <t xml:space="preserve">Qur = </t>
  </si>
  <si>
    <t>Pu / psi =</t>
  </si>
  <si>
    <t xml:space="preserve">Qud = </t>
  </si>
  <si>
    <t>gamma_c x [Pp + [(psi x Qu)+Pc] x [L-(DR/2)]/L =</t>
  </si>
  <si>
    <t>kN/m</t>
  </si>
  <si>
    <t>w = Pp/L =</t>
  </si>
  <si>
    <t>(w x L^2) / 8 =</t>
  </si>
  <si>
    <t>TAREA 10</t>
  </si>
  <si>
    <t>CÁLCULO VIGA PRINCIPAL, PUENTE GRÚA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</si>
  <si>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</si>
  <si>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</si>
  <si>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</si>
  <si>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</si>
  <si>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</si>
  <si>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</si>
  <si>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</si>
  <si>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</si>
  <si>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</si>
  <si>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</si>
  <si>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</si>
  <si>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</si>
  <si>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=EXTRAE(M7;1;1)</t>
  </si>
  <si>
    <t>=EXTRAE(M7;2;1)</t>
  </si>
  <si>
    <t>=EXTRAE(M7;3;1)</t>
  </si>
  <si>
    <t>=EXTRAE(M7;4;1)</t>
  </si>
  <si>
    <t>=EXTRAE(M7;5;1)</t>
  </si>
  <si>
    <t>=EXTRAE(M7;6;1)</t>
  </si>
  <si>
    <t>=EXTRAE(M7;7;1)</t>
  </si>
  <si>
    <t>=EXTRAE(M7;8;1)</t>
  </si>
  <si>
    <t>=5+(2*$M$13)</t>
  </si>
  <si>
    <t>=300+(20*ENTERO(M13/2))</t>
  </si>
  <si>
    <t>=3+($M$9/2)</t>
  </si>
  <si>
    <t>=10+$M$9</t>
  </si>
  <si>
    <t>=$F$18*$D$32</t>
  </si>
  <si>
    <t>=$D$31*$H$31*$H$32</t>
  </si>
  <si>
    <t>=$F$19</t>
  </si>
  <si>
    <t>=D31*H31*D32</t>
  </si>
  <si>
    <t>=$F$16/$F$28</t>
  </si>
  <si>
    <t>=$F$23</t>
  </si>
  <si>
    <t>=E11</t>
  </si>
  <si>
    <t>=E12</t>
  </si>
  <si>
    <t>=I13</t>
  </si>
  <si>
    <t>=F9/1000</t>
  </si>
  <si>
    <t>=H66/2</t>
  </si>
  <si>
    <t>=$F$25</t>
  </si>
  <si>
    <t>Nº orden</t>
  </si>
  <si>
    <t>NI
Núm. Identificación</t>
  </si>
  <si>
    <t>Nombre</t>
  </si>
  <si>
    <t>76588960l</t>
  </si>
  <si>
    <t>Amando Sánchez, Rodrigo</t>
  </si>
  <si>
    <t>46346965q</t>
  </si>
  <si>
    <t>Aguilar Campo, Jaime</t>
  </si>
  <si>
    <t>76688699x</t>
  </si>
  <si>
    <t>Bardo Jiménez, Noelia</t>
  </si>
  <si>
    <t>75912600r</t>
  </si>
  <si>
    <t>Bringas Temido, Ramón</t>
  </si>
  <si>
    <t>67834322a</t>
  </si>
  <si>
    <t>Cáceres Martos, Adrián</t>
  </si>
  <si>
    <t>25432001b</t>
  </si>
  <si>
    <t>Charco Profundo, Ana</t>
  </si>
  <si>
    <t>50297996h</t>
  </si>
  <si>
    <t>Delgado Santos, Manuel</t>
  </si>
  <si>
    <t>71433902u</t>
  </si>
  <si>
    <t>Estébanez Sencillo, Ricardo</t>
  </si>
  <si>
    <t>15954881f</t>
  </si>
  <si>
    <t>Fuertes Cabeza, Dolores</t>
  </si>
  <si>
    <t>77244904k</t>
  </si>
  <si>
    <t>García Ramírez, Fernando</t>
  </si>
  <si>
    <t>64219067m</t>
  </si>
  <si>
    <t>González Villa, Luis</t>
  </si>
  <si>
    <t>Gutiérrez Alba, Manuela</t>
  </si>
  <si>
    <t>51000222n</t>
  </si>
  <si>
    <t>Hernán Porres, Francisco</t>
  </si>
  <si>
    <t>56348976v</t>
  </si>
  <si>
    <t>Huertas Luna, Antonio</t>
  </si>
  <si>
    <t>32909877f</t>
  </si>
  <si>
    <t>Indiano Blanco, Jesús</t>
  </si>
  <si>
    <t>32912007r</t>
  </si>
  <si>
    <t>Jaén Romero, Carlos</t>
  </si>
  <si>
    <t>77668012s</t>
  </si>
  <si>
    <t>López Algeciras, Sandra</t>
  </si>
  <si>
    <t>76689200j</t>
  </si>
  <si>
    <t>Muñoz García, Santiago</t>
  </si>
  <si>
    <t>74559860e</t>
  </si>
  <si>
    <t>Navarro Limón, María</t>
  </si>
  <si>
    <t>44555000w</t>
  </si>
  <si>
    <t>Perea Rosales, Carmen</t>
  </si>
  <si>
    <t>25031992x</t>
  </si>
  <si>
    <t>PUENTE GRÚA. CÁLCULO DE VIGA PRINCIPAL.</t>
  </si>
  <si>
    <t>NI =</t>
  </si>
  <si>
    <t>=BUSCARV(M7;Listado!B3:C22;2;FALSO)</t>
  </si>
  <si>
    <t>=I11*I12</t>
  </si>
  <si>
    <t>Movim./hora:</t>
  </si>
  <si>
    <t>=$F$7*100/25</t>
  </si>
  <si>
    <t xml:space="preserve">f = </t>
  </si>
  <si>
    <t>=$F$20*$F$21</t>
  </si>
  <si>
    <t>Hora/dia:</t>
  </si>
  <si>
    <t>=$F$22</t>
  </si>
  <si>
    <t>=L33</t>
  </si>
  <si>
    <t>="Q"&amp;G35</t>
  </si>
  <si>
    <t>=J26*J39</t>
  </si>
  <si>
    <t>=$E$17</t>
  </si>
  <si>
    <t>=L40</t>
  </si>
  <si>
    <t>="L"&amp;G41</t>
  </si>
  <si>
    <t>=I36</t>
  </si>
  <si>
    <t>=1+J47*F46</t>
  </si>
  <si>
    <t>(controlar límites 1,15 &lt; epsilon &lt; 1,6)</t>
  </si>
  <si>
    <t>sigma_adm = Sy / Cs =</t>
  </si>
  <si>
    <t>=G63*9,806/1000</t>
  </si>
  <si>
    <t>=$F$54*$F$7*$J$63/10^6</t>
  </si>
  <si>
    <t>=I64/F7</t>
  </si>
  <si>
    <t>=I64/2</t>
  </si>
  <si>
    <t>=(M64*(F7^2)/8)</t>
  </si>
  <si>
    <t>Qc = 1000 + (200 x F) =</t>
  </si>
  <si>
    <t>= 1000 + (200*$M$13)</t>
  </si>
  <si>
    <t>=I69*((F7-F8)/2)</t>
  </si>
  <si>
    <t>=H51*E13/10^6</t>
  </si>
  <si>
    <t>=(D78/K44)-I66-I70</t>
  </si>
  <si>
    <t>=D81/((F7-F8)/2)</t>
  </si>
  <si>
    <t>=2*F82</t>
  </si>
  <si>
    <t>=K82/H49</t>
  </si>
  <si>
    <t>Módulo Young (MPa)</t>
  </si>
  <si>
    <t>=5*($I$64*1000)*(($F$7*1000)^3)/(384*$M$86*$F$55)</t>
  </si>
  <si>
    <t>=($H$68*1000)*(($F$7*1000)^3)/(48*$M$86*$F$55)</t>
  </si>
  <si>
    <t>=G86-(L87+L88)</t>
  </si>
  <si>
    <t>=48*M86*F55*J89/((F7*1000)^3*1000)</t>
  </si>
  <si>
    <t>=F56</t>
  </si>
  <si>
    <t>=J90</t>
  </si>
  <si>
    <t>=K44*(I64+((H49*F83)+H68)*(F7-(F8/2))/F7)</t>
  </si>
  <si>
    <t>=K97*1000/H95</t>
  </si>
  <si>
    <t>=SI(E98 &lt; (0,577*H51); "ADMISIBLE"; "NO ADMISIBLE")</t>
  </si>
  <si>
    <t>Para el cálculo de la deflexión, no tendremos en cuenta el coeficiente dinámico ni el de mayoración de cargas.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</si>
</sst>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"/>
    <numFmt numFmtId="167" formatCode="0.000E+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2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/>
    <xf numFmtId="3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7" xfId="0" applyFont="1" applyBorder="1"/>
    <xf numFmtId="0" fontId="2" fillId="0" borderId="0" xfId="0" applyFon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165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8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4" fillId="0" borderId="0" xfId="0" applyFont="1"/>
    <xf numFmtId="0" fontId="0" fillId="0" borderId="7" xfId="0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/>
    </xf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6" fillId="2" borderId="13" xfId="0" quotePrefix="1" applyNumberFormat="1" applyFont="1" applyFill="1" applyBorder="1" applyAlignment="1">
      <alignment horizontal="center"/>
    </xf>
    <xf numFmtId="0" fontId="6" fillId="2" borderId="13" xfId="0" quotePrefix="1" applyFont="1" applyFill="1" applyBorder="1" applyAlignment="1">
      <alignment horizontal="center"/>
    </xf>
    <xf numFmtId="165" fontId="6" fillId="2" borderId="13" xfId="0" quotePrefix="1" applyNumberFormat="1" applyFont="1" applyFill="1" applyBorder="1" applyAlignment="1">
      <alignment horizontal="center"/>
    </xf>
    <xf numFmtId="167" fontId="6" fillId="2" borderId="13" xfId="0" quotePrefix="1" applyNumberFormat="1" applyFont="1" applyFill="1" applyBorder="1" applyAlignment="1">
      <alignment horizontal="center"/>
    </xf>
    <xf numFmtId="164" fontId="6" fillId="2" borderId="13" xfId="0" quotePrefix="1" applyNumberFormat="1" applyFont="1" applyFill="1" applyBorder="1" applyAlignment="1">
      <alignment horizontal="center"/>
    </xf>
    <xf numFmtId="2" fontId="6" fillId="2" borderId="13" xfId="0" quotePrefix="1" applyNumberFormat="1" applyFont="1" applyFill="1" applyBorder="1" applyAlignment="1">
      <alignment horizontal="left"/>
    </xf>
    <xf numFmtId="2" fontId="6" fillId="2" borderId="13" xfId="0" quotePrefix="1" applyNumberFormat="1" applyFont="1" applyFill="1" applyBorder="1" applyAlignment="1">
      <alignment horizontal="center"/>
    </xf>
    <xf numFmtId="2" fontId="6" fillId="2" borderId="13" xfId="0" quotePrefix="1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0" fontId="0" fillId="0" borderId="0" xfId="0" applyFont="1"/>
    <xf numFmtId="0" fontId="4" fillId="0" borderId="0" xfId="0" applyFont="1" applyAlignment="1">
      <alignment horizontal="center"/>
    </xf>
    <xf numFmtId="0" fontId="6" fillId="2" borderId="0" xfId="0" quotePrefix="1" applyFont="1" applyFill="1"/>
    <xf numFmtId="0" fontId="0" fillId="3" borderId="0" xfId="0" applyFill="1"/>
    <xf numFmtId="0" fontId="2" fillId="3" borderId="9" xfId="0" quotePrefix="1" applyFont="1" applyFill="1" applyBorder="1" applyAlignment="1">
      <alignment horizontal="center" vertical="center"/>
    </xf>
    <xf numFmtId="0" fontId="6" fillId="2" borderId="13" xfId="0" quotePrefix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167" fontId="0" fillId="3" borderId="0" xfId="0" applyNumberFormat="1" applyFill="1"/>
    <xf numFmtId="0" fontId="0" fillId="2" borderId="0" xfId="0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right"/>
    </xf>
    <xf numFmtId="0" fontId="7" fillId="0" borderId="0" xfId="0" applyFont="1"/>
    <xf numFmtId="3" fontId="6" fillId="2" borderId="13" xfId="0" quotePrefix="1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left"/>
    </xf>
    <xf numFmtId="3" fontId="6" fillId="2" borderId="0" xfId="0" quotePrefix="1" applyNumberFormat="1" applyFont="1" applyFill="1" applyAlignment="1">
      <alignment horizontal="left"/>
    </xf>
    <xf numFmtId="0" fontId="1" fillId="3" borderId="9" xfId="0" applyFont="1" applyFill="1" applyBorder="1" applyAlignment="1">
      <alignment horizontal="center"/>
    </xf>
    <xf numFmtId="165" fontId="6" fillId="2" borderId="13" xfId="0" quotePrefix="1" applyNumberFormat="1" applyFont="1" applyFill="1" applyBorder="1" applyAlignment="1">
      <alignment horizontal="right"/>
    </xf>
    <xf numFmtId="2" fontId="6" fillId="2" borderId="13" xfId="0" quotePrefix="1" applyNumberFormat="1" applyFont="1" applyFill="1" applyBorder="1" applyAlignment="1">
      <alignment horizontal="right"/>
    </xf>
    <xf numFmtId="2" fontId="6" fillId="2" borderId="13" xfId="0" quotePrefix="1" applyNumberFormat="1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1" fontId="6" fillId="2" borderId="13" xfId="0" quotePrefix="1" applyNumberFormat="1" applyFont="1" applyFill="1" applyBorder="1" applyAlignment="1">
      <alignment horizontal="center"/>
    </xf>
    <xf numFmtId="2" fontId="8" fillId="2" borderId="13" xfId="0" quotePrefix="1" applyNumberFormat="1" applyFont="1" applyFill="1" applyBorder="1" applyAlignment="1">
      <alignment horizontal="right"/>
    </xf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227591</xdr:colOff>
      <xdr:row>34</xdr:row>
      <xdr:rowOff>166123</xdr:rowOff>
    </xdr:from>
    <xdr:to>
      <xdr:col>19</xdr:col>
      <xdr:colOff>599622</xdr:colOff>
      <xdr:row>49</xdr:row>
      <xdr:rowOff>32289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35FC67-BFB9-4C6B-A8E8-058128A93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0083" y="6326699"/>
          <a:ext cx="3633133" cy="2578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285628</xdr:colOff>
      <xdr:row>57</xdr:row>
      <xdr:rowOff>86602</xdr:rowOff>
    </xdr:from>
    <xdr:to>
      <xdr:col>26</xdr:col>
      <xdr:colOff>497238</xdr:colOff>
      <xdr:row>64</xdr:row>
      <xdr:rowOff>13816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C220E2-4832-49C6-B3F9-CC9BCC79C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1442" y="10405890"/>
          <a:ext cx="4124931" cy="1225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353921</xdr:colOff>
      <xdr:row>1</xdr:row>
      <xdr:rowOff>171776</xdr:rowOff>
    </xdr:from>
    <xdr:to>
      <xdr:col>26</xdr:col>
      <xdr:colOff>535059</xdr:colOff>
      <xdr:row>11</xdr:row>
      <xdr:rowOff>58118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BC65C2-F249-4043-ADA5-58690F84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9735" y="359047"/>
          <a:ext cx="4094459" cy="1700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392704</xdr:colOff>
      <xdr:row>12</xdr:row>
      <xdr:rowOff>61058</xdr:rowOff>
    </xdr:from>
    <xdr:to>
      <xdr:col>26</xdr:col>
      <xdr:colOff>490231</xdr:colOff>
      <xdr:row>20</xdr:row>
      <xdr:rowOff>129153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0426A0-607C-4B1C-8CE5-6CD69B76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8518" y="2243736"/>
          <a:ext cx="4010848" cy="1514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422570</xdr:colOff>
      <xdr:row>34</xdr:row>
      <xdr:rowOff>139484</xdr:rowOff>
    </xdr:from>
    <xdr:to>
      <xdr:col>26</xdr:col>
      <xdr:colOff>0</xdr:colOff>
      <xdr:row>48</xdr:row>
      <xdr:rowOff>142108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8FD99E4-1BA7-41F8-B535-65D7A8B5B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8384" y="6300060"/>
          <a:ext cx="3490751" cy="253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268597</xdr:colOff>
      <xdr:row>49</xdr:row>
      <xdr:rowOff>159284</xdr:rowOff>
    </xdr:from>
    <xdr:to>
      <xdr:col>26</xdr:col>
      <xdr:colOff>406744</xdr:colOff>
      <xdr:row>56</xdr:row>
      <xdr:rowOff>64576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AD18BF0-D21D-43D3-834E-95E35EBA5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4411" y="9032064"/>
          <a:ext cx="4051468" cy="1170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147719</xdr:colOff>
      <xdr:row>51</xdr:row>
      <xdr:rowOff>32769</xdr:rowOff>
    </xdr:from>
    <xdr:to>
      <xdr:col>19</xdr:col>
      <xdr:colOff>568271</xdr:colOff>
      <xdr:row>53</xdr:row>
      <xdr:rowOff>101486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C5368A-90D3-41B5-ADD9-9B071AF48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50211" y="9267176"/>
          <a:ext cx="3681654" cy="430344"/>
        </a:xfrm>
        <a:prstGeom prst="rect">
          <a:avLst/>
        </a:prstGeom>
      </xdr:spPr>
    </xdr:pic>
    <xdr:clientData/>
  </xdr:twoCellAnchor>
  <xdr:twoCellAnchor editAs="oneCell">
    <xdr:from>
      <xdr:col>14</xdr:col>
      <xdr:colOff>411675</xdr:colOff>
      <xdr:row>54</xdr:row>
      <xdr:rowOff>34064</xdr:rowOff>
    </xdr:from>
    <xdr:to>
      <xdr:col>18</xdr:col>
      <xdr:colOff>122695</xdr:colOff>
      <xdr:row>64</xdr:row>
      <xdr:rowOff>58538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25D2E57-D223-480B-8F37-AD7D8ECA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14167" y="9810911"/>
          <a:ext cx="2319902" cy="1864898"/>
        </a:xfrm>
        <a:prstGeom prst="rect">
          <a:avLst/>
        </a:prstGeom>
      </xdr:spPr>
    </xdr:pic>
    <xdr:clientData/>
  </xdr:twoCellAnchor>
  <xdr:twoCellAnchor editAs="oneCell">
    <xdr:from>
      <xdr:col>18</xdr:col>
      <xdr:colOff>570370</xdr:colOff>
      <xdr:row>56</xdr:row>
      <xdr:rowOff>113331</xdr:rowOff>
    </xdr:from>
    <xdr:to>
      <xdr:col>20</xdr:col>
      <xdr:colOff>146408</xdr:colOff>
      <xdr:row>58</xdr:row>
      <xdr:rowOff>45203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ABB7BAF-0D34-4772-ADCD-CA6287DDA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781743" y="10251806"/>
          <a:ext cx="880479" cy="293499"/>
        </a:xfrm>
        <a:prstGeom prst="rect">
          <a:avLst/>
        </a:prstGeom>
      </xdr:spPr>
    </xdr:pic>
    <xdr:clientData/>
  </xdr:twoCellAnchor>
  <xdr:twoCellAnchor editAs="oneCell">
    <xdr:from>
      <xdr:col>14</xdr:col>
      <xdr:colOff>425313</xdr:colOff>
      <xdr:row>66</xdr:row>
      <xdr:rowOff>63464</xdr:rowOff>
    </xdr:from>
    <xdr:to>
      <xdr:col>22</xdr:col>
      <xdr:colOff>499240</xdr:colOff>
      <xdr:row>91</xdr:row>
      <xdr:rowOff>496081</xdr:rowOff>
    </xdr:to>
    <xdr:pic>
      <xdr:nvPicPr>
        <xdr:cNvPr id="12" name="Imagen 11" descr="Perfiles IPN">
          <a:extLst>
            <a:ext uri="{FF2B5EF4-FFF2-40B4-BE49-F238E27FC236}">
              <a16:creationId xmlns:a16="http://schemas.microsoft.com/office/drawing/2014/main" id="{8C316321-1735-4873-84AE-357D4D53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2279" y="12229188"/>
          <a:ext cx="5329100" cy="5937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32288</xdr:colOff>
      <xdr:row>0</xdr:row>
      <xdr:rowOff>116238</xdr:rowOff>
    </xdr:from>
    <xdr:to>
      <xdr:col>19</xdr:col>
      <xdr:colOff>487243</xdr:colOff>
      <xdr:row>31</xdr:row>
      <xdr:rowOff>116238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34780" y="116238"/>
          <a:ext cx="3716057" cy="5618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227591</xdr:colOff>
      <xdr:row>34</xdr:row>
      <xdr:rowOff>166123</xdr:rowOff>
    </xdr:from>
    <xdr:to>
      <xdr:col>19</xdr:col>
      <xdr:colOff>599622</xdr:colOff>
      <xdr:row>49</xdr:row>
      <xdr:rowOff>32289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135FC67-BFB9-4C6B-A8E8-058128A93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4981" y="6391663"/>
          <a:ext cx="3629582" cy="2609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285628</xdr:colOff>
      <xdr:row>57</xdr:row>
      <xdr:rowOff>86602</xdr:rowOff>
    </xdr:from>
    <xdr:to>
      <xdr:col>26</xdr:col>
      <xdr:colOff>497236</xdr:colOff>
      <xdr:row>64</xdr:row>
      <xdr:rowOff>13816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9C220E2-4832-49C6-B3F9-CC9BCC79C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078" y="10518382"/>
          <a:ext cx="4120669" cy="1237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353921</xdr:colOff>
      <xdr:row>1</xdr:row>
      <xdr:rowOff>171776</xdr:rowOff>
    </xdr:from>
    <xdr:to>
      <xdr:col>26</xdr:col>
      <xdr:colOff>535057</xdr:colOff>
      <xdr:row>11</xdr:row>
      <xdr:rowOff>58118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9BC65C2-F249-4043-ADA5-58690F84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0371" y="358466"/>
          <a:ext cx="4090197" cy="171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392704</xdr:colOff>
      <xdr:row>12</xdr:row>
      <xdr:rowOff>61058</xdr:rowOff>
    </xdr:from>
    <xdr:to>
      <xdr:col>26</xdr:col>
      <xdr:colOff>490229</xdr:colOff>
      <xdr:row>20</xdr:row>
      <xdr:rowOff>129153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C0426A0-607C-4B1C-8CE5-6CD69B76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9154" y="2263238"/>
          <a:ext cx="4006586" cy="153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422570</xdr:colOff>
      <xdr:row>34</xdr:row>
      <xdr:rowOff>139484</xdr:rowOff>
    </xdr:from>
    <xdr:to>
      <xdr:col>25</xdr:col>
      <xdr:colOff>651508</xdr:colOff>
      <xdr:row>48</xdr:row>
      <xdr:rowOff>142108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8FD99E4-1BA7-41F8-B535-65D7A8B5B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9020" y="6365024"/>
          <a:ext cx="3486489" cy="256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268597</xdr:colOff>
      <xdr:row>49</xdr:row>
      <xdr:rowOff>159284</xdr:rowOff>
    </xdr:from>
    <xdr:to>
      <xdr:col>26</xdr:col>
      <xdr:colOff>406742</xdr:colOff>
      <xdr:row>56</xdr:row>
      <xdr:rowOff>64576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AD18BF0-D21D-43D3-834E-95E35EBA5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047" y="9128024"/>
          <a:ext cx="4047206" cy="1185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147719</xdr:colOff>
      <xdr:row>51</xdr:row>
      <xdr:rowOff>32769</xdr:rowOff>
    </xdr:from>
    <xdr:to>
      <xdr:col>19</xdr:col>
      <xdr:colOff>568271</xdr:colOff>
      <xdr:row>53</xdr:row>
      <xdr:rowOff>101486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5BC5368A-90D3-41B5-ADD9-9B071AF48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45109" y="9367269"/>
          <a:ext cx="3678103" cy="434477"/>
        </a:xfrm>
        <a:prstGeom prst="rect">
          <a:avLst/>
        </a:prstGeom>
      </xdr:spPr>
    </xdr:pic>
    <xdr:clientData/>
  </xdr:twoCellAnchor>
  <xdr:twoCellAnchor editAs="oneCell">
    <xdr:from>
      <xdr:col>14</xdr:col>
      <xdr:colOff>411675</xdr:colOff>
      <xdr:row>54</xdr:row>
      <xdr:rowOff>34064</xdr:rowOff>
    </xdr:from>
    <xdr:to>
      <xdr:col>18</xdr:col>
      <xdr:colOff>122695</xdr:colOff>
      <xdr:row>64</xdr:row>
      <xdr:rowOff>58538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25D2E57-D223-480B-8F37-AD7D8ECA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09065" y="9917204"/>
          <a:ext cx="2317061" cy="1883754"/>
        </a:xfrm>
        <a:prstGeom prst="rect">
          <a:avLst/>
        </a:prstGeom>
      </xdr:spPr>
    </xdr:pic>
    <xdr:clientData/>
  </xdr:twoCellAnchor>
  <xdr:twoCellAnchor editAs="oneCell">
    <xdr:from>
      <xdr:col>18</xdr:col>
      <xdr:colOff>570370</xdr:colOff>
      <xdr:row>56</xdr:row>
      <xdr:rowOff>113331</xdr:rowOff>
    </xdr:from>
    <xdr:to>
      <xdr:col>20</xdr:col>
      <xdr:colOff>146409</xdr:colOff>
      <xdr:row>58</xdr:row>
      <xdr:rowOff>45203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ABB7BAF-0D34-4772-ADCD-CA6287DDA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773800" y="10362231"/>
          <a:ext cx="879058" cy="297632"/>
        </a:xfrm>
        <a:prstGeom prst="rect">
          <a:avLst/>
        </a:prstGeom>
      </xdr:spPr>
    </xdr:pic>
    <xdr:clientData/>
  </xdr:twoCellAnchor>
  <xdr:twoCellAnchor editAs="oneCell">
    <xdr:from>
      <xdr:col>14</xdr:col>
      <xdr:colOff>477864</xdr:colOff>
      <xdr:row>66</xdr:row>
      <xdr:rowOff>108750</xdr:rowOff>
    </xdr:from>
    <xdr:to>
      <xdr:col>22</xdr:col>
      <xdr:colOff>494169</xdr:colOff>
      <xdr:row>91</xdr:row>
      <xdr:rowOff>1387936</xdr:rowOff>
    </xdr:to>
    <xdr:pic>
      <xdr:nvPicPr>
        <xdr:cNvPr id="23" name="Imagen 22" descr="Perfiles IPN">
          <a:extLst>
            <a:ext uri="{FF2B5EF4-FFF2-40B4-BE49-F238E27FC236}">
              <a16:creationId xmlns:a16="http://schemas.microsoft.com/office/drawing/2014/main" id="{8C316321-1735-4873-84AE-357D4D53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7614" y="12259929"/>
          <a:ext cx="5241448" cy="5871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32288</xdr:colOff>
      <xdr:row>0</xdr:row>
      <xdr:rowOff>116238</xdr:rowOff>
    </xdr:from>
    <xdr:to>
      <xdr:col>19</xdr:col>
      <xdr:colOff>487243</xdr:colOff>
      <xdr:row>31</xdr:row>
      <xdr:rowOff>116238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29678" y="116238"/>
          <a:ext cx="3712506" cy="5676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621506</xdr:colOff>
      <xdr:row>36</xdr:row>
      <xdr:rowOff>56342</xdr:rowOff>
    </xdr:from>
    <xdr:to>
      <xdr:col>20</xdr:col>
      <xdr:colOff>283081</xdr:colOff>
      <xdr:row>52</xdr:row>
      <xdr:rowOff>163233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381" y="6390467"/>
          <a:ext cx="4328826" cy="30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150018</xdr:colOff>
      <xdr:row>59</xdr:row>
      <xdr:rowOff>177002</xdr:rowOff>
    </xdr:from>
    <xdr:to>
      <xdr:col>33</xdr:col>
      <xdr:colOff>6542</xdr:colOff>
      <xdr:row>69</xdr:row>
      <xdr:rowOff>67959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7612" y="11226002"/>
          <a:ext cx="5321493" cy="1795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127907</xdr:colOff>
      <xdr:row>1</xdr:row>
      <xdr:rowOff>42624</xdr:rowOff>
    </xdr:from>
    <xdr:to>
      <xdr:col>32</xdr:col>
      <xdr:colOff>521347</xdr:colOff>
      <xdr:row>14</xdr:row>
      <xdr:rowOff>27350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6264" y="233124"/>
          <a:ext cx="5292011" cy="2461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166687</xdr:colOff>
      <xdr:row>15</xdr:row>
      <xdr:rowOff>15853</xdr:rowOff>
    </xdr:from>
    <xdr:to>
      <xdr:col>32</xdr:col>
      <xdr:colOff>488155</xdr:colOff>
      <xdr:row>26</xdr:row>
      <xdr:rowOff>118666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4281" y="2873353"/>
          <a:ext cx="5179218" cy="2198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119063</xdr:colOff>
      <xdr:row>28</xdr:row>
      <xdr:rowOff>93529</xdr:rowOff>
    </xdr:from>
    <xdr:to>
      <xdr:col>31</xdr:col>
      <xdr:colOff>238124</xdr:colOff>
      <xdr:row>47</xdr:row>
      <xdr:rowOff>58729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6657" y="5237029"/>
          <a:ext cx="4369593" cy="358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107156</xdr:colOff>
      <xdr:row>48</xdr:row>
      <xdr:rowOff>165742</xdr:rowOff>
    </xdr:from>
    <xdr:to>
      <xdr:col>33</xdr:col>
      <xdr:colOff>416718</xdr:colOff>
      <xdr:row>58</xdr:row>
      <xdr:rowOff>143668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" y="9119242"/>
          <a:ext cx="5774531" cy="188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619125</xdr:colOff>
      <xdr:row>54</xdr:row>
      <xdr:rowOff>161925</xdr:rowOff>
    </xdr:from>
    <xdr:to>
      <xdr:col>22</xdr:col>
      <xdr:colOff>447006</xdr:colOff>
      <xdr:row>58</xdr:row>
      <xdr:rowOff>104688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06000" y="9753600"/>
          <a:ext cx="5828631" cy="666663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60</xdr:row>
      <xdr:rowOff>85725</xdr:rowOff>
    </xdr:from>
    <xdr:to>
      <xdr:col>18</xdr:col>
      <xdr:colOff>444501</xdr:colOff>
      <xdr:row>73</xdr:row>
      <xdr:rowOff>111291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48875" y="10763250"/>
          <a:ext cx="3016250" cy="2378241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</xdr:colOff>
      <xdr:row>61</xdr:row>
      <xdr:rowOff>171450</xdr:rowOff>
    </xdr:from>
    <xdr:to>
      <xdr:col>20</xdr:col>
      <xdr:colOff>539615</xdr:colOff>
      <xdr:row>64</xdr:row>
      <xdr:rowOff>196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354050" y="11029950"/>
          <a:ext cx="1139690" cy="37142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76</xdr:row>
      <xdr:rowOff>0</xdr:rowOff>
    </xdr:from>
    <xdr:to>
      <xdr:col>28</xdr:col>
      <xdr:colOff>32198</xdr:colOff>
      <xdr:row>120</xdr:row>
      <xdr:rowOff>151238</xdr:rowOff>
    </xdr:to>
    <xdr:pic>
      <xdr:nvPicPr>
        <xdr:cNvPr id="13" name="Imagen 12" descr="Perfiles IP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7465" y="13683803"/>
          <a:ext cx="9347915" cy="817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20</xdr:col>
      <xdr:colOff>123567</xdr:colOff>
      <xdr:row>35</xdr:row>
      <xdr:rowOff>14102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01649" y="185351"/>
          <a:ext cx="4077729" cy="6316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6"/>
  <sheetViews>
    <sheetView view="pageLayout" topLeftCell="A54" zoomScale="57" zoomScaleNormal="71" zoomScalePageLayoutView="57" workbookViewId="0">
      <selection activeCell="L87" sqref="L87"/>
    </sheetView>
  </sheetViews>
  <sheetFormatPr baseColWidth="10" defaultColWidth="9.1015625" defaultRowHeight="14.4" x14ac:dyDescent="0.55000000000000004"/>
  <cols>
    <col min="1" max="1" width="5.1015625" customWidth="1"/>
    <col min="2" max="2" width="7.3671875" customWidth="1"/>
    <col min="3" max="3" width="7.05078125" customWidth="1"/>
    <col min="4" max="4" width="12.20703125" customWidth="1"/>
    <col min="5" max="5" width="10.05078125" customWidth="1"/>
    <col min="6" max="6" width="9.9453125" customWidth="1"/>
    <col min="7" max="7" width="8.734375" customWidth="1"/>
    <col min="8" max="8" width="7.3125" customWidth="1"/>
    <col min="9" max="9" width="11.5234375" customWidth="1"/>
    <col min="10" max="10" width="11.26171875" customWidth="1"/>
    <col min="11" max="11" width="11.05078125" customWidth="1"/>
    <col min="12" max="12" width="12.26171875" customWidth="1"/>
    <col min="13" max="13" width="12" customWidth="1"/>
    <col min="14" max="14" width="5.1015625" customWidth="1"/>
  </cols>
  <sheetData>
    <row r="1" spans="1:14" ht="14.7" thickBot="1" x14ac:dyDescent="0.6">
      <c r="A1" s="45" t="s">
        <v>199</v>
      </c>
      <c r="B1" s="45" t="s">
        <v>200</v>
      </c>
      <c r="C1" s="45" t="s">
        <v>201</v>
      </c>
      <c r="D1" s="45" t="s">
        <v>202</v>
      </c>
      <c r="E1" s="45" t="s">
        <v>203</v>
      </c>
      <c r="F1" s="45" t="s">
        <v>204</v>
      </c>
      <c r="G1" s="45" t="s">
        <v>205</v>
      </c>
      <c r="H1" s="45" t="s">
        <v>206</v>
      </c>
      <c r="I1" s="45" t="s">
        <v>207</v>
      </c>
      <c r="J1" s="45" t="s">
        <v>208</v>
      </c>
      <c r="K1" s="45" t="s">
        <v>209</v>
      </c>
      <c r="L1" s="45" t="s">
        <v>74</v>
      </c>
      <c r="M1" s="45" t="s">
        <v>210</v>
      </c>
      <c r="N1" t="s">
        <v>164</v>
      </c>
    </row>
    <row r="2" spans="1:14" ht="14.7" thickBot="1" x14ac:dyDescent="0.6">
      <c r="A2" s="45">
        <v>2</v>
      </c>
      <c r="B2" s="42" t="s">
        <v>197</v>
      </c>
      <c r="C2" s="43" t="s">
        <v>198</v>
      </c>
      <c r="D2" s="43"/>
      <c r="E2" s="43"/>
      <c r="F2" s="44"/>
    </row>
    <row r="3" spans="1:14" x14ac:dyDescent="0.55000000000000004">
      <c r="A3" s="45">
        <v>3</v>
      </c>
    </row>
    <row r="4" spans="1:14" x14ac:dyDescent="0.55000000000000004">
      <c r="A4" s="45">
        <v>4</v>
      </c>
      <c r="B4" t="s">
        <v>3</v>
      </c>
      <c r="C4" s="63" t="s">
        <v>280</v>
      </c>
      <c r="F4" t="s">
        <v>4</v>
      </c>
      <c r="G4" s="64"/>
      <c r="I4" t="s">
        <v>5</v>
      </c>
      <c r="J4" s="64"/>
    </row>
    <row r="5" spans="1:14" x14ac:dyDescent="0.55000000000000004">
      <c r="A5" s="45">
        <v>5</v>
      </c>
    </row>
    <row r="6" spans="1:14" x14ac:dyDescent="0.55000000000000004">
      <c r="A6" s="45">
        <v>6</v>
      </c>
      <c r="B6" s="9"/>
      <c r="L6" s="5"/>
      <c r="M6" s="5"/>
    </row>
    <row r="7" spans="1:14" x14ac:dyDescent="0.55000000000000004">
      <c r="A7" s="45">
        <v>7</v>
      </c>
      <c r="B7" s="9" t="s">
        <v>35</v>
      </c>
      <c r="C7" s="6" t="s">
        <v>36</v>
      </c>
      <c r="D7" s="6" t="s">
        <v>163</v>
      </c>
      <c r="F7" s="48" t="s">
        <v>219</v>
      </c>
      <c r="G7" s="6" t="s">
        <v>11</v>
      </c>
      <c r="I7" s="6"/>
      <c r="K7" s="5"/>
      <c r="L7" s="40" t="s">
        <v>279</v>
      </c>
      <c r="M7" s="65"/>
    </row>
    <row r="8" spans="1:14" x14ac:dyDescent="0.55000000000000004">
      <c r="A8" s="45">
        <v>8</v>
      </c>
      <c r="B8" t="s">
        <v>38</v>
      </c>
      <c r="E8" s="6" t="s">
        <v>37</v>
      </c>
      <c r="F8" s="6">
        <v>0</v>
      </c>
      <c r="G8" s="6" t="s">
        <v>11</v>
      </c>
      <c r="I8" s="6"/>
      <c r="L8" s="10" t="s">
        <v>6</v>
      </c>
      <c r="M8" s="48" t="s">
        <v>211</v>
      </c>
    </row>
    <row r="9" spans="1:14" x14ac:dyDescent="0.55000000000000004">
      <c r="A9" s="45">
        <v>9</v>
      </c>
      <c r="B9" s="9" t="s">
        <v>39</v>
      </c>
      <c r="D9" t="s">
        <v>303</v>
      </c>
      <c r="F9" s="66" t="s">
        <v>304</v>
      </c>
      <c r="G9" s="6" t="s">
        <v>164</v>
      </c>
      <c r="I9" s="6"/>
      <c r="K9" s="1"/>
      <c r="L9" s="11" t="s">
        <v>7</v>
      </c>
      <c r="M9" s="49" t="s">
        <v>212</v>
      </c>
    </row>
    <row r="10" spans="1:14" x14ac:dyDescent="0.55000000000000004">
      <c r="A10" s="45">
        <v>10</v>
      </c>
      <c r="B10" s="22" t="s">
        <v>165</v>
      </c>
      <c r="F10" s="66" t="s">
        <v>220</v>
      </c>
      <c r="G10" s="6" t="s">
        <v>30</v>
      </c>
      <c r="H10" s="1"/>
      <c r="I10" s="6"/>
      <c r="K10" s="1"/>
      <c r="L10" s="11" t="s">
        <v>1</v>
      </c>
      <c r="M10" s="49" t="s">
        <v>213</v>
      </c>
    </row>
    <row r="11" spans="1:14" x14ac:dyDescent="0.55000000000000004">
      <c r="A11" s="45">
        <v>11</v>
      </c>
      <c r="C11" t="s">
        <v>166</v>
      </c>
      <c r="D11" t="s">
        <v>6</v>
      </c>
      <c r="E11" s="68">
        <v>10700</v>
      </c>
      <c r="F11" s="6" t="s">
        <v>32</v>
      </c>
      <c r="G11" s="6"/>
      <c r="H11" s="6" t="s">
        <v>170</v>
      </c>
      <c r="I11" s="67">
        <v>306</v>
      </c>
      <c r="J11" s="6" t="s">
        <v>30</v>
      </c>
      <c r="K11" s="1"/>
      <c r="L11" s="11" t="s">
        <v>0</v>
      </c>
      <c r="M11" s="49" t="s">
        <v>214</v>
      </c>
    </row>
    <row r="12" spans="1:14" x14ac:dyDescent="0.55000000000000004">
      <c r="A12" s="45">
        <v>12</v>
      </c>
      <c r="C12" t="s">
        <v>167</v>
      </c>
      <c r="D12" t="s">
        <v>93</v>
      </c>
      <c r="E12" s="68">
        <v>240100000</v>
      </c>
      <c r="F12" s="6" t="s">
        <v>33</v>
      </c>
      <c r="G12" s="6"/>
      <c r="H12" s="6" t="s">
        <v>31</v>
      </c>
      <c r="I12" s="67">
        <v>13.7</v>
      </c>
      <c r="J12" s="6" t="s">
        <v>30</v>
      </c>
      <c r="K12" s="1"/>
      <c r="L12" s="11" t="s">
        <v>10</v>
      </c>
      <c r="M12" s="49" t="s">
        <v>215</v>
      </c>
    </row>
    <row r="13" spans="1:14" x14ac:dyDescent="0.55000000000000004">
      <c r="A13" s="45">
        <v>13</v>
      </c>
      <c r="B13" s="9"/>
      <c r="C13" t="s">
        <v>168</v>
      </c>
      <c r="E13" s="68">
        <v>1260000</v>
      </c>
      <c r="F13" s="6" t="s">
        <v>169</v>
      </c>
      <c r="G13" s="6"/>
      <c r="H13" s="1" t="s">
        <v>171</v>
      </c>
      <c r="I13" s="70" t="s">
        <v>281</v>
      </c>
      <c r="J13" s="6" t="s">
        <v>32</v>
      </c>
      <c r="K13" s="1"/>
      <c r="L13" s="11" t="s">
        <v>8</v>
      </c>
      <c r="M13" s="49" t="s">
        <v>216</v>
      </c>
    </row>
    <row r="14" spans="1:14" x14ac:dyDescent="0.55000000000000004">
      <c r="A14" s="45">
        <v>14</v>
      </c>
      <c r="B14" t="s">
        <v>40</v>
      </c>
      <c r="D14" t="s">
        <v>41</v>
      </c>
      <c r="E14" s="67" t="s">
        <v>172</v>
      </c>
      <c r="F14" s="6"/>
      <c r="G14" s="8"/>
      <c r="H14" s="1"/>
      <c r="J14" s="1"/>
      <c r="L14" s="11" t="s">
        <v>9</v>
      </c>
      <c r="M14" s="49" t="s">
        <v>217</v>
      </c>
    </row>
    <row r="15" spans="1:14" x14ac:dyDescent="0.55000000000000004">
      <c r="A15" s="45">
        <v>15</v>
      </c>
      <c r="E15" s="6" t="s">
        <v>42</v>
      </c>
      <c r="F15" s="67">
        <v>410</v>
      </c>
      <c r="G15" s="6" t="s">
        <v>34</v>
      </c>
      <c r="H15" s="1"/>
      <c r="I15" s="6"/>
      <c r="J15" s="1"/>
      <c r="L15" s="12" t="s">
        <v>2</v>
      </c>
      <c r="M15" s="49" t="s">
        <v>218</v>
      </c>
    </row>
    <row r="16" spans="1:14" x14ac:dyDescent="0.55000000000000004">
      <c r="A16" s="45">
        <v>16</v>
      </c>
      <c r="E16" s="6" t="s">
        <v>43</v>
      </c>
      <c r="F16" s="67">
        <v>275</v>
      </c>
      <c r="G16" s="6" t="s">
        <v>34</v>
      </c>
      <c r="H16" s="1"/>
      <c r="I16" s="2"/>
      <c r="J16" s="3"/>
    </row>
    <row r="17" spans="1:11" x14ac:dyDescent="0.55000000000000004">
      <c r="A17" s="45">
        <v>17</v>
      </c>
      <c r="B17" t="s">
        <v>44</v>
      </c>
      <c r="D17" s="6" t="s">
        <v>173</v>
      </c>
      <c r="E17" s="67">
        <f>2</f>
        <v>2</v>
      </c>
      <c r="G17" s="27" t="s">
        <v>45</v>
      </c>
      <c r="H17" s="1"/>
      <c r="J17" s="1"/>
      <c r="K17" s="6"/>
    </row>
    <row r="18" spans="1:11" x14ac:dyDescent="0.55000000000000004">
      <c r="A18" s="45">
        <v>18</v>
      </c>
      <c r="B18" t="s">
        <v>282</v>
      </c>
      <c r="D18" s="6" t="s">
        <v>174</v>
      </c>
      <c r="E18" s="2"/>
      <c r="F18" s="49" t="s">
        <v>221</v>
      </c>
      <c r="G18" s="6" t="s">
        <v>47</v>
      </c>
      <c r="H18" s="1"/>
      <c r="J18" s="1"/>
      <c r="K18" s="6"/>
    </row>
    <row r="19" spans="1:11" x14ac:dyDescent="0.55000000000000004">
      <c r="A19" s="45">
        <v>19</v>
      </c>
      <c r="B19" t="s">
        <v>48</v>
      </c>
      <c r="D19" s="6" t="s">
        <v>160</v>
      </c>
      <c r="E19" s="6" t="s">
        <v>50</v>
      </c>
      <c r="F19" s="49" t="s">
        <v>222</v>
      </c>
      <c r="G19" s="6" t="s">
        <v>49</v>
      </c>
      <c r="H19" s="1"/>
      <c r="I19" s="6"/>
      <c r="J19" s="1"/>
      <c r="K19" s="6"/>
    </row>
    <row r="20" spans="1:11" x14ac:dyDescent="0.55000000000000004">
      <c r="A20" s="45">
        <v>20</v>
      </c>
      <c r="C20" s="4"/>
      <c r="F20" s="67">
        <v>40</v>
      </c>
      <c r="G20" s="6" t="s">
        <v>51</v>
      </c>
      <c r="H20" s="1"/>
      <c r="J20" s="1"/>
      <c r="K20" s="6"/>
    </row>
    <row r="21" spans="1:11" x14ac:dyDescent="0.55000000000000004">
      <c r="A21" s="45">
        <v>21</v>
      </c>
      <c r="F21" s="67">
        <v>5</v>
      </c>
      <c r="G21" s="6" t="s">
        <v>52</v>
      </c>
      <c r="H21" s="1"/>
      <c r="J21" s="1"/>
      <c r="K21" s="6"/>
    </row>
    <row r="22" spans="1:11" x14ac:dyDescent="0.55000000000000004">
      <c r="A22" s="45">
        <v>22</v>
      </c>
      <c r="C22" s="4"/>
      <c r="F22" s="67">
        <v>8</v>
      </c>
      <c r="G22" s="6" t="s">
        <v>53</v>
      </c>
      <c r="H22" s="1"/>
      <c r="J22" s="1"/>
      <c r="K22" s="6"/>
    </row>
    <row r="23" spans="1:11" x14ac:dyDescent="0.55000000000000004">
      <c r="A23" s="45">
        <v>23</v>
      </c>
      <c r="B23" t="s">
        <v>54</v>
      </c>
      <c r="E23" s="6" t="s">
        <v>55</v>
      </c>
      <c r="F23" s="67">
        <v>0.5</v>
      </c>
      <c r="G23" s="6" t="s">
        <v>56</v>
      </c>
      <c r="H23" s="6"/>
      <c r="J23" s="1"/>
      <c r="K23" s="6"/>
    </row>
    <row r="24" spans="1:11" x14ac:dyDescent="0.55000000000000004">
      <c r="A24" s="45">
        <v>24</v>
      </c>
      <c r="B24" t="s">
        <v>57</v>
      </c>
      <c r="E24" s="6" t="s">
        <v>58</v>
      </c>
      <c r="F24" s="67">
        <v>2</v>
      </c>
      <c r="G24" s="6" t="s">
        <v>59</v>
      </c>
      <c r="H24" s="6"/>
      <c r="J24" s="1"/>
      <c r="K24" s="6"/>
    </row>
    <row r="25" spans="1:11" x14ac:dyDescent="0.55000000000000004">
      <c r="A25" s="45">
        <v>25</v>
      </c>
      <c r="B25" t="s">
        <v>60</v>
      </c>
      <c r="D25" s="71" t="s">
        <v>61</v>
      </c>
      <c r="E25" s="6" t="s">
        <v>62</v>
      </c>
      <c r="F25" s="54" t="s">
        <v>283</v>
      </c>
      <c r="G25" s="6" t="s">
        <v>30</v>
      </c>
      <c r="I25" s="7"/>
    </row>
    <row r="26" spans="1:11" x14ac:dyDescent="0.55000000000000004">
      <c r="A26" s="45">
        <v>26</v>
      </c>
      <c r="B26" t="s">
        <v>20</v>
      </c>
      <c r="E26" t="s">
        <v>175</v>
      </c>
      <c r="I26" s="6" t="s">
        <v>284</v>
      </c>
      <c r="J26" s="67">
        <v>0.35</v>
      </c>
    </row>
    <row r="27" spans="1:11" x14ac:dyDescent="0.55000000000000004">
      <c r="A27" s="45">
        <v>27</v>
      </c>
    </row>
    <row r="28" spans="1:11" x14ac:dyDescent="0.55000000000000004">
      <c r="A28" s="45">
        <v>28</v>
      </c>
      <c r="B28" t="s">
        <v>85</v>
      </c>
      <c r="E28" s="6" t="s">
        <v>86</v>
      </c>
      <c r="F28" s="67">
        <v>2.2000000000000002</v>
      </c>
      <c r="H28" t="s">
        <v>176</v>
      </c>
    </row>
    <row r="29" spans="1:11" x14ac:dyDescent="0.55000000000000004">
      <c r="A29" s="45">
        <v>29</v>
      </c>
    </row>
    <row r="30" spans="1:11" x14ac:dyDescent="0.55000000000000004">
      <c r="A30" s="45">
        <v>30</v>
      </c>
      <c r="B30" t="s">
        <v>71</v>
      </c>
    </row>
    <row r="31" spans="1:11" x14ac:dyDescent="0.55000000000000004">
      <c r="A31" s="45">
        <v>31</v>
      </c>
      <c r="C31" t="s">
        <v>12</v>
      </c>
      <c r="D31" s="49" t="s">
        <v>225</v>
      </c>
      <c r="F31" t="s">
        <v>13</v>
      </c>
      <c r="H31" s="73" t="s">
        <v>285</v>
      </c>
      <c r="I31" s="6" t="s">
        <v>67</v>
      </c>
      <c r="K31" t="s">
        <v>177</v>
      </c>
    </row>
    <row r="32" spans="1:11" x14ac:dyDescent="0.55000000000000004">
      <c r="A32" s="45">
        <v>32</v>
      </c>
      <c r="C32" s="74" t="s">
        <v>286</v>
      </c>
      <c r="D32" s="70" t="s">
        <v>287</v>
      </c>
      <c r="F32" t="s">
        <v>64</v>
      </c>
      <c r="H32" s="48" t="s">
        <v>223</v>
      </c>
      <c r="I32" s="6" t="s">
        <v>66</v>
      </c>
      <c r="K32" t="s">
        <v>65</v>
      </c>
    </row>
    <row r="33" spans="1:14" x14ac:dyDescent="0.55000000000000004">
      <c r="A33" s="45">
        <v>33</v>
      </c>
      <c r="C33" t="s">
        <v>14</v>
      </c>
      <c r="E33" s="22" t="s">
        <v>68</v>
      </c>
      <c r="H33" s="75" t="s">
        <v>224</v>
      </c>
      <c r="I33" s="6" t="s">
        <v>15</v>
      </c>
      <c r="J33" s="6"/>
      <c r="K33" t="s">
        <v>17</v>
      </c>
      <c r="L33" s="67" t="s">
        <v>178</v>
      </c>
    </row>
    <row r="34" spans="1:14" x14ac:dyDescent="0.55000000000000004">
      <c r="A34" s="45">
        <v>34</v>
      </c>
      <c r="B34" s="45" t="s">
        <v>200</v>
      </c>
      <c r="C34" s="45" t="s">
        <v>201</v>
      </c>
      <c r="D34" s="45" t="s">
        <v>202</v>
      </c>
      <c r="E34" s="45" t="s">
        <v>203</v>
      </c>
      <c r="F34" s="45" t="s">
        <v>204</v>
      </c>
      <c r="G34" s="45" t="s">
        <v>205</v>
      </c>
      <c r="H34" s="45" t="s">
        <v>206</v>
      </c>
      <c r="I34" s="45" t="s">
        <v>207</v>
      </c>
      <c r="J34" s="45" t="s">
        <v>208</v>
      </c>
      <c r="K34" s="45" t="s">
        <v>209</v>
      </c>
      <c r="L34" s="45" t="s">
        <v>74</v>
      </c>
      <c r="M34" s="45" t="s">
        <v>210</v>
      </c>
      <c r="N34" s="45" t="s">
        <v>164</v>
      </c>
    </row>
    <row r="35" spans="1:14" x14ac:dyDescent="0.55000000000000004">
      <c r="A35" s="45">
        <v>35</v>
      </c>
      <c r="C35" t="s">
        <v>16</v>
      </c>
      <c r="F35" s="1" t="s">
        <v>69</v>
      </c>
      <c r="G35" s="76">
        <f>$E$17</f>
        <v>2</v>
      </c>
      <c r="H35" s="6"/>
      <c r="M35" s="6"/>
    </row>
    <row r="36" spans="1:14" x14ac:dyDescent="0.55000000000000004">
      <c r="A36" s="45">
        <v>36</v>
      </c>
      <c r="C36" t="s">
        <v>19</v>
      </c>
      <c r="F36" s="70" t="s">
        <v>288</v>
      </c>
      <c r="G36" s="70" t="s">
        <v>289</v>
      </c>
      <c r="H36" s="8" t="s">
        <v>18</v>
      </c>
      <c r="I36" s="67" t="s">
        <v>179</v>
      </c>
    </row>
    <row r="37" spans="1:14" x14ac:dyDescent="0.55000000000000004">
      <c r="A37" s="45">
        <v>37</v>
      </c>
    </row>
    <row r="38" spans="1:14" x14ac:dyDescent="0.55000000000000004">
      <c r="A38" s="45">
        <v>38</v>
      </c>
      <c r="B38" t="s">
        <v>72</v>
      </c>
    </row>
    <row r="39" spans="1:14" x14ac:dyDescent="0.55000000000000004">
      <c r="A39" s="45">
        <v>39</v>
      </c>
      <c r="C39" t="s">
        <v>21</v>
      </c>
      <c r="F39" t="s">
        <v>73</v>
      </c>
      <c r="J39" s="49" t="s">
        <v>226</v>
      </c>
      <c r="K39" s="6" t="s">
        <v>22</v>
      </c>
      <c r="M39" s="6"/>
    </row>
    <row r="40" spans="1:14" x14ac:dyDescent="0.55000000000000004">
      <c r="A40" s="45">
        <v>40</v>
      </c>
      <c r="C40" t="s">
        <v>23</v>
      </c>
      <c r="H40" s="49" t="s">
        <v>290</v>
      </c>
      <c r="I40" s="6" t="s">
        <v>22</v>
      </c>
      <c r="J40" t="s">
        <v>24</v>
      </c>
      <c r="L40" s="67" t="s">
        <v>180</v>
      </c>
    </row>
    <row r="41" spans="1:14" x14ac:dyDescent="0.55000000000000004">
      <c r="A41" s="45">
        <v>41</v>
      </c>
      <c r="C41" t="s">
        <v>25</v>
      </c>
      <c r="F41" s="1" t="s">
        <v>74</v>
      </c>
      <c r="G41" s="77" t="s">
        <v>291</v>
      </c>
      <c r="H41" s="6"/>
    </row>
    <row r="42" spans="1:14" x14ac:dyDescent="0.55000000000000004">
      <c r="A42" s="45">
        <v>42</v>
      </c>
      <c r="C42" t="s">
        <v>26</v>
      </c>
      <c r="F42" s="70" t="s">
        <v>292</v>
      </c>
      <c r="G42" s="70" t="s">
        <v>293</v>
      </c>
      <c r="H42" s="8" t="s">
        <v>18</v>
      </c>
      <c r="I42" s="67" t="s">
        <v>181</v>
      </c>
    </row>
    <row r="43" spans="1:14" x14ac:dyDescent="0.55000000000000004">
      <c r="A43" s="45">
        <v>43</v>
      </c>
    </row>
    <row r="44" spans="1:14" x14ac:dyDescent="0.55000000000000004">
      <c r="A44" s="45">
        <v>44</v>
      </c>
      <c r="B44" s="4" t="s">
        <v>76</v>
      </c>
      <c r="G44" s="70" t="s">
        <v>294</v>
      </c>
      <c r="H44" s="8" t="s">
        <v>18</v>
      </c>
      <c r="I44" s="30" t="s">
        <v>77</v>
      </c>
      <c r="J44" s="16" t="s">
        <v>27</v>
      </c>
      <c r="K44" s="78">
        <v>1.08</v>
      </c>
    </row>
    <row r="45" spans="1:14" x14ac:dyDescent="0.55000000000000004">
      <c r="A45" s="45">
        <v>45</v>
      </c>
    </row>
    <row r="46" spans="1:14" x14ac:dyDescent="0.55000000000000004">
      <c r="A46" s="45">
        <v>46</v>
      </c>
      <c r="B46" t="s">
        <v>78</v>
      </c>
      <c r="D46" s="6" t="s">
        <v>79</v>
      </c>
      <c r="E46" s="6" t="s">
        <v>27</v>
      </c>
      <c r="F46" s="49" t="s">
        <v>228</v>
      </c>
      <c r="G46" s="6" t="s">
        <v>56</v>
      </c>
    </row>
    <row r="47" spans="1:14" x14ac:dyDescent="0.55000000000000004">
      <c r="A47" s="45">
        <v>47</v>
      </c>
      <c r="D47" t="s">
        <v>80</v>
      </c>
      <c r="H47" s="6" t="s">
        <v>81</v>
      </c>
      <c r="I47" s="6" t="s">
        <v>27</v>
      </c>
      <c r="J47" s="67">
        <v>0.6</v>
      </c>
    </row>
    <row r="48" spans="1:14" x14ac:dyDescent="0.55000000000000004">
      <c r="A48" s="45">
        <v>48</v>
      </c>
    </row>
    <row r="49" spans="1:14" x14ac:dyDescent="0.55000000000000004">
      <c r="A49" s="45">
        <v>49</v>
      </c>
      <c r="B49" s="4" t="s">
        <v>82</v>
      </c>
      <c r="E49" s="31" t="s">
        <v>83</v>
      </c>
      <c r="F49" s="32" t="s">
        <v>84</v>
      </c>
      <c r="G49" s="33"/>
      <c r="H49" s="66" t="s">
        <v>295</v>
      </c>
      <c r="J49" t="s">
        <v>296</v>
      </c>
    </row>
    <row r="50" spans="1:14" x14ac:dyDescent="0.55000000000000004">
      <c r="A50" s="45">
        <v>50</v>
      </c>
    </row>
    <row r="51" spans="1:14" x14ac:dyDescent="0.55000000000000004">
      <c r="A51" s="45">
        <v>51</v>
      </c>
      <c r="B51" t="s">
        <v>87</v>
      </c>
      <c r="E51" t="s">
        <v>297</v>
      </c>
      <c r="H51" s="79" t="s">
        <v>227</v>
      </c>
      <c r="I51" s="6" t="s">
        <v>34</v>
      </c>
    </row>
    <row r="52" spans="1:14" x14ac:dyDescent="0.55000000000000004">
      <c r="A52" s="45">
        <v>52</v>
      </c>
    </row>
    <row r="53" spans="1:14" x14ac:dyDescent="0.55000000000000004">
      <c r="A53" s="45">
        <v>53</v>
      </c>
      <c r="B53" t="s">
        <v>90</v>
      </c>
    </row>
    <row r="54" spans="1:14" x14ac:dyDescent="0.55000000000000004">
      <c r="A54" s="45">
        <v>54</v>
      </c>
      <c r="C54" t="s">
        <v>91</v>
      </c>
      <c r="E54" s="6" t="s">
        <v>6</v>
      </c>
      <c r="F54" s="51" t="s">
        <v>229</v>
      </c>
      <c r="G54" s="6" t="s">
        <v>32</v>
      </c>
      <c r="H54" s="19"/>
      <c r="I54" s="6"/>
    </row>
    <row r="55" spans="1:14" x14ac:dyDescent="0.55000000000000004">
      <c r="A55" s="45">
        <v>55</v>
      </c>
      <c r="C55" t="s">
        <v>92</v>
      </c>
      <c r="E55" s="6" t="s">
        <v>93</v>
      </c>
      <c r="F55" s="51" t="s">
        <v>230</v>
      </c>
      <c r="G55" s="6" t="s">
        <v>33</v>
      </c>
      <c r="H55" s="26"/>
      <c r="I55" s="6"/>
    </row>
    <row r="56" spans="1:14" x14ac:dyDescent="0.55000000000000004">
      <c r="A56" s="45">
        <v>56</v>
      </c>
      <c r="C56" s="27" t="s">
        <v>182</v>
      </c>
      <c r="D56" s="6"/>
      <c r="E56" s="6" t="s">
        <v>154</v>
      </c>
      <c r="F56" s="49" t="s">
        <v>231</v>
      </c>
      <c r="G56" s="6" t="s">
        <v>32</v>
      </c>
      <c r="H56" s="6"/>
      <c r="I56" s="6"/>
      <c r="J56" s="6"/>
      <c r="K56" s="6"/>
    </row>
    <row r="57" spans="1:14" x14ac:dyDescent="0.55000000000000004">
      <c r="A57" s="45">
        <v>57</v>
      </c>
      <c r="C57" s="6"/>
      <c r="F57" s="6"/>
      <c r="G57" s="6"/>
      <c r="I57" s="6"/>
      <c r="L57" s="6"/>
      <c r="M57" s="6"/>
    </row>
    <row r="58" spans="1:14" x14ac:dyDescent="0.55000000000000004">
      <c r="A58" s="45">
        <v>58</v>
      </c>
      <c r="B58" t="s">
        <v>94</v>
      </c>
    </row>
    <row r="59" spans="1:14" x14ac:dyDescent="0.55000000000000004">
      <c r="A59" s="45">
        <v>59</v>
      </c>
      <c r="B59" t="s">
        <v>95</v>
      </c>
    </row>
    <row r="60" spans="1:14" x14ac:dyDescent="0.55000000000000004">
      <c r="A60" s="45">
        <v>60</v>
      </c>
      <c r="B60" t="s">
        <v>96</v>
      </c>
    </row>
    <row r="61" spans="1:14" x14ac:dyDescent="0.55000000000000004">
      <c r="A61" s="45">
        <v>61</v>
      </c>
      <c r="B61" t="s">
        <v>97</v>
      </c>
    </row>
    <row r="62" spans="1:14" x14ac:dyDescent="0.55000000000000004">
      <c r="A62" s="45">
        <v>62</v>
      </c>
    </row>
    <row r="63" spans="1:14" x14ac:dyDescent="0.55000000000000004">
      <c r="A63" s="45">
        <v>63</v>
      </c>
      <c r="C63" t="s">
        <v>100</v>
      </c>
      <c r="F63" s="6" t="s">
        <v>101</v>
      </c>
      <c r="G63" s="67">
        <v>7850</v>
      </c>
      <c r="H63" s="6" t="s">
        <v>102</v>
      </c>
      <c r="I63" s="6"/>
      <c r="J63" s="80" t="s">
        <v>298</v>
      </c>
      <c r="K63" s="6" t="s">
        <v>103</v>
      </c>
    </row>
    <row r="64" spans="1:14" ht="16.8" customHeight="1" x14ac:dyDescent="0.55000000000000004">
      <c r="A64" s="45">
        <v>64</v>
      </c>
      <c r="B64" t="s">
        <v>98</v>
      </c>
      <c r="F64" s="6" t="s">
        <v>106</v>
      </c>
      <c r="G64" t="s">
        <v>99</v>
      </c>
      <c r="I64" s="80" t="s">
        <v>299</v>
      </c>
      <c r="J64" s="6" t="s">
        <v>28</v>
      </c>
      <c r="L64" t="s">
        <v>195</v>
      </c>
      <c r="M64" s="52" t="s">
        <v>300</v>
      </c>
      <c r="N64" s="6" t="s">
        <v>194</v>
      </c>
    </row>
    <row r="65" spans="1:14" x14ac:dyDescent="0.55000000000000004">
      <c r="A65" s="45">
        <v>65</v>
      </c>
      <c r="C65" t="s">
        <v>104</v>
      </c>
      <c r="G65" s="6" t="s">
        <v>105</v>
      </c>
      <c r="H65" s="6" t="s">
        <v>107</v>
      </c>
      <c r="I65" s="54" t="s">
        <v>301</v>
      </c>
      <c r="J65" s="6" t="s">
        <v>28</v>
      </c>
    </row>
    <row r="66" spans="1:14" x14ac:dyDescent="0.55000000000000004">
      <c r="A66" s="45">
        <v>66</v>
      </c>
      <c r="C66" t="s">
        <v>108</v>
      </c>
      <c r="F66" t="s">
        <v>109</v>
      </c>
      <c r="G66" t="s">
        <v>196</v>
      </c>
      <c r="I66" s="53" t="s">
        <v>302</v>
      </c>
      <c r="J66" s="6" t="s">
        <v>29</v>
      </c>
    </row>
    <row r="67" spans="1:14" x14ac:dyDescent="0.55000000000000004">
      <c r="A67" s="45">
        <v>67</v>
      </c>
      <c r="B67" s="45" t="s">
        <v>200</v>
      </c>
      <c r="C67" s="45" t="s">
        <v>201</v>
      </c>
      <c r="D67" s="45" t="s">
        <v>202</v>
      </c>
      <c r="E67" s="45" t="s">
        <v>203</v>
      </c>
      <c r="F67" s="45" t="s">
        <v>204</v>
      </c>
      <c r="G67" s="45" t="s">
        <v>205</v>
      </c>
      <c r="H67" s="45" t="s">
        <v>206</v>
      </c>
      <c r="I67" s="45" t="s">
        <v>207</v>
      </c>
      <c r="J67" s="45" t="s">
        <v>208</v>
      </c>
      <c r="K67" s="45" t="s">
        <v>209</v>
      </c>
      <c r="L67" s="45" t="s">
        <v>74</v>
      </c>
      <c r="M67" s="45" t="s">
        <v>210</v>
      </c>
      <c r="N67" s="45" t="s">
        <v>164</v>
      </c>
    </row>
    <row r="68" spans="1:14" x14ac:dyDescent="0.55000000000000004">
      <c r="A68" s="45">
        <v>68</v>
      </c>
      <c r="B68" t="s">
        <v>183</v>
      </c>
      <c r="F68" t="s">
        <v>110</v>
      </c>
      <c r="G68" s="6" t="s">
        <v>184</v>
      </c>
      <c r="H68" s="54" t="s">
        <v>232</v>
      </c>
      <c r="I68" s="6" t="s">
        <v>28</v>
      </c>
    </row>
    <row r="69" spans="1:14" x14ac:dyDescent="0.55000000000000004">
      <c r="A69" s="45">
        <v>69</v>
      </c>
      <c r="C69" t="s">
        <v>111</v>
      </c>
      <c r="G69" s="6" t="s">
        <v>112</v>
      </c>
      <c r="H69" s="6" t="s">
        <v>113</v>
      </c>
      <c r="I69" s="54" t="s">
        <v>233</v>
      </c>
      <c r="J69" s="6" t="s">
        <v>28</v>
      </c>
    </row>
    <row r="70" spans="1:14" x14ac:dyDescent="0.55000000000000004">
      <c r="A70" s="45">
        <v>70</v>
      </c>
      <c r="C70" t="s">
        <v>114</v>
      </c>
      <c r="F70" t="s">
        <v>115</v>
      </c>
      <c r="G70" t="s">
        <v>116</v>
      </c>
      <c r="I70" s="54" t="s">
        <v>305</v>
      </c>
      <c r="J70" s="6" t="s">
        <v>29</v>
      </c>
    </row>
    <row r="71" spans="1:14" x14ac:dyDescent="0.55000000000000004">
      <c r="A71" s="45">
        <v>71</v>
      </c>
      <c r="B71" t="s">
        <v>185</v>
      </c>
      <c r="F71" t="s">
        <v>118</v>
      </c>
      <c r="G71" t="s">
        <v>186</v>
      </c>
    </row>
    <row r="72" spans="1:14" x14ac:dyDescent="0.55000000000000004">
      <c r="A72" s="45">
        <v>72</v>
      </c>
      <c r="C72" t="s">
        <v>117</v>
      </c>
      <c r="G72" t="s">
        <v>132</v>
      </c>
    </row>
    <row r="73" spans="1:14" x14ac:dyDescent="0.55000000000000004">
      <c r="A73" s="45">
        <v>73</v>
      </c>
      <c r="C73" t="s">
        <v>119</v>
      </c>
      <c r="F73" t="s">
        <v>120</v>
      </c>
      <c r="G73" t="s">
        <v>121</v>
      </c>
    </row>
    <row r="74" spans="1:14" x14ac:dyDescent="0.55000000000000004">
      <c r="A74" s="45">
        <v>74</v>
      </c>
    </row>
    <row r="75" spans="1:14" x14ac:dyDescent="0.55000000000000004">
      <c r="A75" s="45">
        <v>75</v>
      </c>
      <c r="C75" t="s">
        <v>122</v>
      </c>
      <c r="E75" t="s">
        <v>123</v>
      </c>
      <c r="F75" t="s">
        <v>124</v>
      </c>
      <c r="I75" t="s">
        <v>187</v>
      </c>
    </row>
    <row r="76" spans="1:14" x14ac:dyDescent="0.55000000000000004">
      <c r="A76" s="45">
        <v>76</v>
      </c>
    </row>
    <row r="77" spans="1:14" x14ac:dyDescent="0.55000000000000004">
      <c r="A77" s="45">
        <v>77</v>
      </c>
      <c r="B77" t="s">
        <v>125</v>
      </c>
      <c r="F77" t="s">
        <v>188</v>
      </c>
      <c r="H77" s="8" t="s">
        <v>18</v>
      </c>
      <c r="I77" t="s">
        <v>189</v>
      </c>
    </row>
    <row r="78" spans="1:14" x14ac:dyDescent="0.55000000000000004">
      <c r="A78" s="45">
        <v>78</v>
      </c>
      <c r="C78" t="s">
        <v>126</v>
      </c>
      <c r="D78" s="54" t="s">
        <v>306</v>
      </c>
      <c r="E78" s="6" t="s">
        <v>29</v>
      </c>
    </row>
    <row r="79" spans="1:14" x14ac:dyDescent="0.55000000000000004">
      <c r="A79" s="45">
        <v>79</v>
      </c>
    </row>
    <row r="80" spans="1:14" x14ac:dyDescent="0.55000000000000004">
      <c r="A80" s="45">
        <v>80</v>
      </c>
      <c r="B80" t="s">
        <v>127</v>
      </c>
      <c r="G80" t="s">
        <v>128</v>
      </c>
      <c r="H80" t="s">
        <v>129</v>
      </c>
    </row>
    <row r="81" spans="1:28" x14ac:dyDescent="0.55000000000000004">
      <c r="A81" s="45">
        <v>81</v>
      </c>
      <c r="C81" t="s">
        <v>120</v>
      </c>
      <c r="D81" s="54" t="s">
        <v>307</v>
      </c>
      <c r="E81" s="6" t="s">
        <v>29</v>
      </c>
    </row>
    <row r="82" spans="1:28" x14ac:dyDescent="0.55000000000000004">
      <c r="A82" s="45">
        <v>82</v>
      </c>
      <c r="C82" t="s">
        <v>130</v>
      </c>
      <c r="D82" t="s">
        <v>131</v>
      </c>
      <c r="F82" s="80" t="s">
        <v>308</v>
      </c>
      <c r="G82" s="6" t="s">
        <v>28</v>
      </c>
      <c r="I82" t="s">
        <v>133</v>
      </c>
      <c r="K82" s="54" t="s">
        <v>309</v>
      </c>
      <c r="L82" s="6" t="s">
        <v>28</v>
      </c>
    </row>
    <row r="83" spans="1:28" x14ac:dyDescent="0.55000000000000004">
      <c r="A83" s="45">
        <v>83</v>
      </c>
      <c r="C83" s="21" t="s">
        <v>190</v>
      </c>
      <c r="D83" s="18" t="s">
        <v>191</v>
      </c>
      <c r="E83" s="18"/>
      <c r="F83" s="54" t="s">
        <v>310</v>
      </c>
      <c r="G83" s="17" t="s">
        <v>28</v>
      </c>
      <c r="I83" s="4" t="s">
        <v>134</v>
      </c>
      <c r="P83" s="4"/>
    </row>
    <row r="84" spans="1:28" x14ac:dyDescent="0.55000000000000004">
      <c r="A84" s="45">
        <v>84</v>
      </c>
    </row>
    <row r="85" spans="1:28" x14ac:dyDescent="0.55000000000000004">
      <c r="A85" s="45">
        <v>85</v>
      </c>
      <c r="B85" t="s">
        <v>321</v>
      </c>
    </row>
    <row r="86" spans="1:28" x14ac:dyDescent="0.55000000000000004">
      <c r="A86" s="45">
        <v>86</v>
      </c>
      <c r="B86" t="s">
        <v>138</v>
      </c>
      <c r="F86" t="s">
        <v>137</v>
      </c>
      <c r="G86" s="54" t="s">
        <v>234</v>
      </c>
      <c r="H86" s="6" t="s">
        <v>30</v>
      </c>
      <c r="J86" t="s">
        <v>311</v>
      </c>
      <c r="L86" s="6" t="s">
        <v>10</v>
      </c>
      <c r="M86" s="82">
        <v>210000</v>
      </c>
      <c r="N86" s="6" t="s">
        <v>34</v>
      </c>
    </row>
    <row r="87" spans="1:28" s="46" customFormat="1" ht="35.1" x14ac:dyDescent="0.55000000000000004">
      <c r="A87" s="45">
        <v>87</v>
      </c>
      <c r="C87" s="46" t="s">
        <v>136</v>
      </c>
      <c r="G87" s="46" t="s">
        <v>139</v>
      </c>
      <c r="H87" s="46" t="s">
        <v>140</v>
      </c>
      <c r="J87" s="46" t="s">
        <v>142</v>
      </c>
      <c r="L87" s="55" t="s">
        <v>312</v>
      </c>
      <c r="M87" s="47" t="s">
        <v>30</v>
      </c>
    </row>
    <row r="88" spans="1:28" s="46" customFormat="1" ht="35.1" x14ac:dyDescent="0.55000000000000004">
      <c r="A88" s="45">
        <v>88</v>
      </c>
      <c r="C88" s="46" t="s">
        <v>143</v>
      </c>
      <c r="G88" s="46" t="s">
        <v>144</v>
      </c>
      <c r="H88" s="46" t="s">
        <v>145</v>
      </c>
      <c r="L88" s="55" t="s">
        <v>313</v>
      </c>
      <c r="M88" s="47" t="s">
        <v>30</v>
      </c>
    </row>
    <row r="89" spans="1:28" x14ac:dyDescent="0.55000000000000004">
      <c r="A89" s="45">
        <v>89</v>
      </c>
      <c r="C89" t="s">
        <v>146</v>
      </c>
      <c r="F89" s="6" t="s">
        <v>147</v>
      </c>
      <c r="G89" t="s">
        <v>148</v>
      </c>
      <c r="J89" s="54" t="s">
        <v>314</v>
      </c>
      <c r="K89" s="6" t="s">
        <v>30</v>
      </c>
    </row>
    <row r="90" spans="1:28" s="46" customFormat="1" ht="44.4" customHeight="1" x14ac:dyDescent="0.55000000000000004">
      <c r="A90" s="45">
        <v>90</v>
      </c>
      <c r="D90" s="46" t="s">
        <v>150</v>
      </c>
      <c r="G90" s="47" t="s">
        <v>118</v>
      </c>
      <c r="H90" s="46" t="s">
        <v>149</v>
      </c>
      <c r="J90" s="55" t="s">
        <v>315</v>
      </c>
      <c r="K90" s="47" t="s">
        <v>28</v>
      </c>
      <c r="U90" s="47"/>
      <c r="W90" s="47"/>
      <c r="X90" s="56"/>
      <c r="Y90" s="47"/>
      <c r="Z90" s="57"/>
      <c r="AA90" s="58"/>
      <c r="AB90" s="47"/>
    </row>
    <row r="91" spans="1:28" x14ac:dyDescent="0.55000000000000004">
      <c r="A91" s="45">
        <v>91</v>
      </c>
      <c r="C91" s="21" t="s">
        <v>192</v>
      </c>
      <c r="D91" s="18" t="s">
        <v>118</v>
      </c>
      <c r="E91" s="18"/>
      <c r="F91" s="54" t="s">
        <v>317</v>
      </c>
      <c r="G91" s="17" t="s">
        <v>28</v>
      </c>
      <c r="I91" s="4" t="s">
        <v>151</v>
      </c>
    </row>
    <row r="92" spans="1:28" ht="45" customHeight="1" x14ac:dyDescent="0.55000000000000004">
      <c r="A92" s="45">
        <v>92</v>
      </c>
    </row>
    <row r="93" spans="1:28" x14ac:dyDescent="0.55000000000000004">
      <c r="A93" s="45">
        <v>93</v>
      </c>
      <c r="B93" s="45" t="s">
        <v>200</v>
      </c>
      <c r="C93" s="45" t="s">
        <v>201</v>
      </c>
      <c r="D93" s="45" t="s">
        <v>202</v>
      </c>
      <c r="E93" s="45" t="s">
        <v>203</v>
      </c>
      <c r="F93" s="45" t="s">
        <v>204</v>
      </c>
      <c r="G93" s="45" t="s">
        <v>205</v>
      </c>
      <c r="H93" s="45" t="s">
        <v>206</v>
      </c>
      <c r="I93" s="45" t="s">
        <v>207</v>
      </c>
      <c r="J93" s="45" t="s">
        <v>208</v>
      </c>
      <c r="K93" s="45" t="s">
        <v>209</v>
      </c>
      <c r="L93" s="45" t="s">
        <v>74</v>
      </c>
      <c r="M93" s="45" t="s">
        <v>210</v>
      </c>
      <c r="Q93" s="4"/>
      <c r="U93" s="37"/>
      <c r="V93" s="3"/>
      <c r="W93" s="38"/>
      <c r="X93" s="3"/>
      <c r="Y93" s="3"/>
    </row>
    <row r="94" spans="1:28" x14ac:dyDescent="0.55000000000000004">
      <c r="A94" s="45">
        <v>94</v>
      </c>
      <c r="B94" s="4" t="s">
        <v>152</v>
      </c>
      <c r="AA94" s="23"/>
      <c r="AB94" s="6"/>
    </row>
    <row r="95" spans="1:28" x14ac:dyDescent="0.55000000000000004">
      <c r="A95" s="45">
        <v>95</v>
      </c>
      <c r="C95" t="s">
        <v>153</v>
      </c>
      <c r="F95" t="s">
        <v>154</v>
      </c>
      <c r="H95" s="49" t="s">
        <v>316</v>
      </c>
      <c r="I95" s="6" t="s">
        <v>32</v>
      </c>
    </row>
    <row r="96" spans="1:28" x14ac:dyDescent="0.55000000000000004">
      <c r="A96" s="45">
        <v>96</v>
      </c>
      <c r="C96" t="s">
        <v>155</v>
      </c>
    </row>
    <row r="97" spans="1:27" s="46" customFormat="1" ht="47.4" customHeight="1" x14ac:dyDescent="0.55000000000000004">
      <c r="A97" s="45">
        <v>97</v>
      </c>
      <c r="D97" s="46" t="s">
        <v>156</v>
      </c>
      <c r="E97" s="46" t="s">
        <v>193</v>
      </c>
      <c r="K97" s="55" t="s">
        <v>318</v>
      </c>
      <c r="L97" s="47" t="s">
        <v>28</v>
      </c>
    </row>
    <row r="98" spans="1:27" x14ac:dyDescent="0.55000000000000004">
      <c r="A98" s="45">
        <v>98</v>
      </c>
      <c r="C98" s="3" t="s">
        <v>157</v>
      </c>
      <c r="D98" t="s">
        <v>158</v>
      </c>
      <c r="E98" s="84" t="s">
        <v>319</v>
      </c>
      <c r="F98" s="4" t="s">
        <v>34</v>
      </c>
      <c r="G98" s="4"/>
      <c r="H98" s="63" t="s">
        <v>320</v>
      </c>
      <c r="P98" s="4"/>
    </row>
    <row r="99" spans="1:27" x14ac:dyDescent="0.55000000000000004">
      <c r="A99" s="45">
        <v>99</v>
      </c>
    </row>
    <row r="100" spans="1:27" x14ac:dyDescent="0.55000000000000004">
      <c r="A100" s="45">
        <v>100</v>
      </c>
      <c r="S100" s="6"/>
      <c r="T100" s="6"/>
      <c r="U100" s="6"/>
      <c r="V100" s="6"/>
      <c r="W100" s="6"/>
      <c r="X100" s="6"/>
      <c r="Y100" s="6"/>
      <c r="Z100" s="6"/>
      <c r="AA100" s="6"/>
    </row>
    <row r="101" spans="1:27" x14ac:dyDescent="0.55000000000000004">
      <c r="A101" s="45">
        <v>101</v>
      </c>
    </row>
    <row r="102" spans="1:27" x14ac:dyDescent="0.55000000000000004">
      <c r="A102" s="45">
        <v>102</v>
      </c>
      <c r="C102" s="61"/>
      <c r="T102" s="6"/>
      <c r="U102" s="6"/>
      <c r="Z102" s="6"/>
      <c r="AA102" s="6"/>
    </row>
    <row r="103" spans="1:27" x14ac:dyDescent="0.55000000000000004">
      <c r="A103" s="45">
        <v>103</v>
      </c>
      <c r="U103" s="6"/>
      <c r="V103" s="6"/>
    </row>
    <row r="104" spans="1:27" x14ac:dyDescent="0.55000000000000004">
      <c r="U104" s="26"/>
      <c r="V104" s="6"/>
    </row>
    <row r="105" spans="1:27" x14ac:dyDescent="0.55000000000000004">
      <c r="T105" s="6"/>
      <c r="U105" s="6"/>
    </row>
    <row r="106" spans="1:27" x14ac:dyDescent="0.55000000000000004">
      <c r="U106" s="26"/>
      <c r="V106" s="6"/>
    </row>
    <row r="107" spans="1:27" x14ac:dyDescent="0.55000000000000004">
      <c r="V107" s="25"/>
    </row>
    <row r="109" spans="1:27" x14ac:dyDescent="0.55000000000000004">
      <c r="S109" s="3"/>
      <c r="T109" s="3"/>
      <c r="U109" s="3"/>
      <c r="V109" s="3"/>
      <c r="W109" s="3"/>
      <c r="X109" s="3"/>
      <c r="Y109" s="3"/>
      <c r="Z109" s="3"/>
      <c r="AA109" s="3"/>
    </row>
    <row r="111" spans="1:27" x14ac:dyDescent="0.55000000000000004">
      <c r="T111" s="6"/>
      <c r="U111" s="6"/>
      <c r="Z111" s="6"/>
      <c r="AA111" s="6"/>
    </row>
    <row r="112" spans="1:27" x14ac:dyDescent="0.55000000000000004">
      <c r="U112" s="6"/>
      <c r="V112" s="6"/>
    </row>
    <row r="113" spans="20:25" x14ac:dyDescent="0.55000000000000004">
      <c r="U113" s="26"/>
      <c r="V113" s="6"/>
    </row>
    <row r="114" spans="20:25" x14ac:dyDescent="0.55000000000000004">
      <c r="T114" s="6"/>
      <c r="U114" s="6"/>
    </row>
    <row r="115" spans="20:25" x14ac:dyDescent="0.55000000000000004">
      <c r="U115" s="26"/>
      <c r="V115" s="6"/>
    </row>
    <row r="116" spans="20:25" x14ac:dyDescent="0.55000000000000004">
      <c r="V116" s="34"/>
      <c r="W116" s="4"/>
      <c r="X116" s="4"/>
      <c r="Y116" s="4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6"/>
  <sheetViews>
    <sheetView tabSelected="1" view="pageLayout" topLeftCell="A76" zoomScale="56" zoomScaleNormal="71" zoomScalePageLayoutView="56" workbookViewId="0">
      <selection activeCell="Y87" sqref="Y87"/>
    </sheetView>
  </sheetViews>
  <sheetFormatPr baseColWidth="10" defaultColWidth="9.1015625" defaultRowHeight="14.4" x14ac:dyDescent="0.55000000000000004"/>
  <cols>
    <col min="1" max="1" width="5.1015625" customWidth="1"/>
    <col min="2" max="2" width="8.41796875" customWidth="1"/>
    <col min="3" max="3" width="7.89453125" customWidth="1"/>
    <col min="4" max="4" width="12.89453125" customWidth="1"/>
    <col min="5" max="5" width="12.1015625" customWidth="1"/>
    <col min="6" max="6" width="11.7890625" customWidth="1"/>
    <col min="7" max="7" width="9.68359375" customWidth="1"/>
    <col min="8" max="8" width="8" customWidth="1"/>
    <col min="9" max="9" width="11.5234375" customWidth="1"/>
    <col min="10" max="10" width="6.3671875" customWidth="1"/>
    <col min="11" max="11" width="10" customWidth="1"/>
    <col min="12" max="12" width="8.5234375" customWidth="1"/>
    <col min="13" max="13" width="12.578125" customWidth="1"/>
    <col min="14" max="14" width="5.1015625" customWidth="1"/>
  </cols>
  <sheetData>
    <row r="1" spans="1:14" ht="14.7" thickBot="1" x14ac:dyDescent="0.6">
      <c r="A1" s="45" t="s">
        <v>199</v>
      </c>
      <c r="B1" s="45" t="s">
        <v>200</v>
      </c>
      <c r="C1" s="45" t="s">
        <v>201</v>
      </c>
      <c r="D1" s="45" t="s">
        <v>202</v>
      </c>
      <c r="E1" s="45" t="s">
        <v>203</v>
      </c>
      <c r="F1" s="45" t="s">
        <v>204</v>
      </c>
      <c r="G1" s="45" t="s">
        <v>205</v>
      </c>
      <c r="H1" s="45" t="s">
        <v>206</v>
      </c>
      <c r="I1" s="45" t="s">
        <v>207</v>
      </c>
      <c r="J1" s="45" t="s">
        <v>208</v>
      </c>
      <c r="K1" s="45" t="s">
        <v>209</v>
      </c>
      <c r="L1" s="45" t="s">
        <v>74</v>
      </c>
      <c r="M1" s="45" t="s">
        <v>210</v>
      </c>
      <c r="N1" t="s">
        <v>164</v>
      </c>
    </row>
    <row r="2" spans="1:14" ht="14.7" thickBot="1" x14ac:dyDescent="0.6">
      <c r="A2" s="45">
        <v>2</v>
      </c>
      <c r="B2" s="42" t="s">
        <v>197</v>
      </c>
      <c r="C2" s="43" t="s">
        <v>198</v>
      </c>
      <c r="D2" s="43"/>
      <c r="E2" s="43"/>
      <c r="F2" s="44"/>
    </row>
    <row r="3" spans="1:14" x14ac:dyDescent="0.55000000000000004">
      <c r="A3" s="45">
        <v>3</v>
      </c>
    </row>
    <row r="4" spans="1:14" x14ac:dyDescent="0.55000000000000004">
      <c r="A4" s="45">
        <v>4</v>
      </c>
      <c r="B4" t="s">
        <v>3</v>
      </c>
      <c r="C4" s="9" t="str">
        <f>VLOOKUP(M7,Listado!B3:C22,2,FALSE)</f>
        <v>Gutiérrez Alba, Manuela</v>
      </c>
      <c r="F4" t="s">
        <v>4</v>
      </c>
      <c r="G4" s="64"/>
      <c r="I4" t="s">
        <v>5</v>
      </c>
      <c r="J4" s="64"/>
    </row>
    <row r="5" spans="1:14" x14ac:dyDescent="0.55000000000000004">
      <c r="A5" s="45">
        <v>5</v>
      </c>
    </row>
    <row r="6" spans="1:14" x14ac:dyDescent="0.55000000000000004">
      <c r="A6" s="45">
        <v>6</v>
      </c>
      <c r="B6" s="9"/>
      <c r="L6" s="5"/>
      <c r="M6" s="5"/>
    </row>
    <row r="7" spans="1:14" x14ac:dyDescent="0.55000000000000004">
      <c r="A7" s="45">
        <v>7</v>
      </c>
      <c r="B7" s="9" t="s">
        <v>35</v>
      </c>
      <c r="C7" s="6" t="s">
        <v>36</v>
      </c>
      <c r="D7" s="6" t="s">
        <v>163</v>
      </c>
      <c r="F7" s="48">
        <f>5+(2*$M$13)</f>
        <v>23</v>
      </c>
      <c r="G7" s="6" t="s">
        <v>11</v>
      </c>
      <c r="I7" s="6"/>
      <c r="K7" s="5"/>
      <c r="L7" s="40" t="s">
        <v>279</v>
      </c>
      <c r="M7" s="65" t="s">
        <v>277</v>
      </c>
    </row>
    <row r="8" spans="1:14" x14ac:dyDescent="0.55000000000000004">
      <c r="A8" s="45">
        <v>8</v>
      </c>
      <c r="B8" t="s">
        <v>38</v>
      </c>
      <c r="E8" s="6" t="s">
        <v>37</v>
      </c>
      <c r="F8" s="67">
        <v>0</v>
      </c>
      <c r="G8" s="6" t="s">
        <v>11</v>
      </c>
      <c r="I8" s="6"/>
      <c r="L8" s="10" t="s">
        <v>6</v>
      </c>
      <c r="M8" s="48" t="str">
        <f>MID(M7,1,1)</f>
        <v>2</v>
      </c>
    </row>
    <row r="9" spans="1:14" x14ac:dyDescent="0.55000000000000004">
      <c r="A9" s="45">
        <v>9</v>
      </c>
      <c r="B9" s="9" t="s">
        <v>39</v>
      </c>
      <c r="D9" t="s">
        <v>303</v>
      </c>
      <c r="F9" s="49">
        <f xml:space="preserve"> 1000 + (200*$M$13)</f>
        <v>2800</v>
      </c>
      <c r="G9" s="6" t="s">
        <v>164</v>
      </c>
      <c r="I9" s="6"/>
      <c r="K9" s="1"/>
      <c r="L9" s="11" t="s">
        <v>7</v>
      </c>
      <c r="M9" s="49" t="str">
        <f>MID(M7,2,1)</f>
        <v>5</v>
      </c>
    </row>
    <row r="10" spans="1:14" x14ac:dyDescent="0.55000000000000004">
      <c r="A10" s="45">
        <v>10</v>
      </c>
      <c r="B10" t="s">
        <v>165</v>
      </c>
      <c r="F10" s="49">
        <f>300+(20*INT(M13/2))</f>
        <v>380</v>
      </c>
      <c r="G10" s="6" t="s">
        <v>30</v>
      </c>
      <c r="H10" s="1"/>
      <c r="I10" s="6"/>
      <c r="K10" s="1"/>
      <c r="L10" s="11" t="s">
        <v>1</v>
      </c>
      <c r="M10" s="49" t="str">
        <f>MID(M7,3,1)</f>
        <v>0</v>
      </c>
    </row>
    <row r="11" spans="1:14" x14ac:dyDescent="0.55000000000000004">
      <c r="A11" s="45">
        <v>11</v>
      </c>
      <c r="C11" t="s">
        <v>166</v>
      </c>
      <c r="D11" t="s">
        <v>6</v>
      </c>
      <c r="E11" s="68">
        <v>10700</v>
      </c>
      <c r="F11" s="6" t="s">
        <v>32</v>
      </c>
      <c r="G11" s="6"/>
      <c r="H11" s="6" t="s">
        <v>170</v>
      </c>
      <c r="I11" s="67">
        <v>306</v>
      </c>
      <c r="J11" s="6" t="s">
        <v>30</v>
      </c>
      <c r="K11" s="1"/>
      <c r="L11" s="11" t="s">
        <v>0</v>
      </c>
      <c r="M11" s="49" t="str">
        <f>MID(M7,4,1)</f>
        <v>3</v>
      </c>
    </row>
    <row r="12" spans="1:14" x14ac:dyDescent="0.55000000000000004">
      <c r="A12" s="45">
        <v>12</v>
      </c>
      <c r="C12" t="s">
        <v>167</v>
      </c>
      <c r="D12" t="s">
        <v>93</v>
      </c>
      <c r="E12" s="68">
        <v>240100000</v>
      </c>
      <c r="F12" s="6" t="s">
        <v>33</v>
      </c>
      <c r="G12" s="6"/>
      <c r="H12" s="6" t="s">
        <v>31</v>
      </c>
      <c r="I12" s="67">
        <v>13.7</v>
      </c>
      <c r="J12" s="6" t="s">
        <v>30</v>
      </c>
      <c r="K12" s="1"/>
      <c r="L12" s="11" t="s">
        <v>10</v>
      </c>
      <c r="M12" s="49" t="str">
        <f>MID(M7,5,1)</f>
        <v>1</v>
      </c>
    </row>
    <row r="13" spans="1:14" x14ac:dyDescent="0.55000000000000004">
      <c r="A13" s="45">
        <v>13</v>
      </c>
      <c r="B13" s="9"/>
      <c r="C13" t="s">
        <v>168</v>
      </c>
      <c r="E13" s="68">
        <v>1260000</v>
      </c>
      <c r="F13" s="6" t="s">
        <v>169</v>
      </c>
      <c r="G13" s="6"/>
      <c r="H13" s="1" t="s">
        <v>171</v>
      </c>
      <c r="I13" s="69">
        <f>I11*I12</f>
        <v>4192.2</v>
      </c>
      <c r="J13" s="6" t="s">
        <v>32</v>
      </c>
      <c r="K13" s="1"/>
      <c r="L13" s="11" t="s">
        <v>8</v>
      </c>
      <c r="M13" s="49" t="str">
        <f>MID(M7,6,1)</f>
        <v>9</v>
      </c>
    </row>
    <row r="14" spans="1:14" x14ac:dyDescent="0.55000000000000004">
      <c r="A14" s="45">
        <v>14</v>
      </c>
      <c r="B14" t="s">
        <v>40</v>
      </c>
      <c r="D14" t="s">
        <v>41</v>
      </c>
      <c r="E14" s="67" t="s">
        <v>172</v>
      </c>
      <c r="F14" s="6"/>
      <c r="G14" s="8"/>
      <c r="H14" s="1"/>
      <c r="J14" s="1"/>
      <c r="L14" s="11" t="s">
        <v>9</v>
      </c>
      <c r="M14" s="49" t="str">
        <f>MID(M7,7,1)</f>
        <v>9</v>
      </c>
    </row>
    <row r="15" spans="1:14" x14ac:dyDescent="0.55000000000000004">
      <c r="A15" s="45">
        <v>15</v>
      </c>
      <c r="E15" s="6" t="s">
        <v>42</v>
      </c>
      <c r="F15" s="67">
        <v>410</v>
      </c>
      <c r="G15" s="6" t="s">
        <v>34</v>
      </c>
      <c r="H15" s="1"/>
      <c r="I15" s="6"/>
      <c r="J15" s="1"/>
      <c r="L15" s="12" t="s">
        <v>2</v>
      </c>
      <c r="M15" s="49" t="str">
        <f>MID(M7,8,1)</f>
        <v>2</v>
      </c>
    </row>
    <row r="16" spans="1:14" x14ac:dyDescent="0.55000000000000004">
      <c r="A16" s="45">
        <v>16</v>
      </c>
      <c r="E16" s="6" t="s">
        <v>43</v>
      </c>
      <c r="F16" s="67">
        <v>275</v>
      </c>
      <c r="G16" s="6" t="s">
        <v>34</v>
      </c>
      <c r="H16" s="1"/>
      <c r="I16" s="2"/>
      <c r="J16" s="3"/>
    </row>
    <row r="17" spans="1:11" x14ac:dyDescent="0.55000000000000004">
      <c r="A17" s="45">
        <v>17</v>
      </c>
      <c r="B17" t="s">
        <v>44</v>
      </c>
      <c r="D17" s="6" t="s">
        <v>173</v>
      </c>
      <c r="E17" s="67">
        <f>2</f>
        <v>2</v>
      </c>
      <c r="G17" s="27" t="s">
        <v>45</v>
      </c>
      <c r="H17" s="1"/>
      <c r="J17" s="1"/>
      <c r="K17" s="6"/>
    </row>
    <row r="18" spans="1:11" x14ac:dyDescent="0.55000000000000004">
      <c r="A18" s="45">
        <v>18</v>
      </c>
      <c r="B18" t="s">
        <v>46</v>
      </c>
      <c r="D18" s="6" t="s">
        <v>174</v>
      </c>
      <c r="E18" s="2"/>
      <c r="F18" s="49">
        <f>3+($M$9/2)</f>
        <v>5.5</v>
      </c>
      <c r="G18" s="6" t="s">
        <v>47</v>
      </c>
      <c r="H18" s="1"/>
      <c r="J18" s="1"/>
      <c r="K18" s="6"/>
    </row>
    <row r="19" spans="1:11" x14ac:dyDescent="0.55000000000000004">
      <c r="A19" s="45">
        <v>19</v>
      </c>
      <c r="B19" t="s">
        <v>48</v>
      </c>
      <c r="D19" s="6" t="s">
        <v>160</v>
      </c>
      <c r="E19" s="6" t="s">
        <v>50</v>
      </c>
      <c r="F19" s="49">
        <f>10+$M$9</f>
        <v>15</v>
      </c>
      <c r="G19" s="6" t="s">
        <v>49</v>
      </c>
      <c r="H19" s="1"/>
      <c r="I19" s="6"/>
      <c r="J19" s="1"/>
      <c r="K19" s="6"/>
    </row>
    <row r="20" spans="1:11" x14ac:dyDescent="0.55000000000000004">
      <c r="A20" s="45">
        <v>20</v>
      </c>
      <c r="C20" s="4"/>
      <c r="F20" s="67">
        <v>40</v>
      </c>
      <c r="G20" s="6" t="s">
        <v>51</v>
      </c>
      <c r="H20" s="1"/>
      <c r="J20" s="1"/>
      <c r="K20" s="6"/>
    </row>
    <row r="21" spans="1:11" x14ac:dyDescent="0.55000000000000004">
      <c r="A21" s="45">
        <v>21</v>
      </c>
      <c r="F21" s="67">
        <v>5</v>
      </c>
      <c r="G21" s="6" t="s">
        <v>52</v>
      </c>
      <c r="H21" s="1"/>
      <c r="J21" s="1"/>
      <c r="K21" s="6"/>
    </row>
    <row r="22" spans="1:11" x14ac:dyDescent="0.55000000000000004">
      <c r="A22" s="45">
        <v>22</v>
      </c>
      <c r="C22" s="4"/>
      <c r="F22" s="67">
        <v>8</v>
      </c>
      <c r="G22" s="6" t="s">
        <v>53</v>
      </c>
      <c r="H22" s="1"/>
      <c r="J22" s="1"/>
      <c r="K22" s="6"/>
    </row>
    <row r="23" spans="1:11" x14ac:dyDescent="0.55000000000000004">
      <c r="A23" s="45">
        <v>23</v>
      </c>
      <c r="B23" t="s">
        <v>54</v>
      </c>
      <c r="E23" s="6" t="s">
        <v>55</v>
      </c>
      <c r="F23" s="67">
        <v>0.5</v>
      </c>
      <c r="G23" s="6" t="s">
        <v>56</v>
      </c>
      <c r="H23" s="6"/>
      <c r="J23" s="1"/>
      <c r="K23" s="6"/>
    </row>
    <row r="24" spans="1:11" x14ac:dyDescent="0.55000000000000004">
      <c r="A24" s="45">
        <v>24</v>
      </c>
      <c r="B24" t="s">
        <v>57</v>
      </c>
      <c r="E24" s="6" t="s">
        <v>58</v>
      </c>
      <c r="F24" s="67">
        <v>2</v>
      </c>
      <c r="G24" s="6" t="s">
        <v>59</v>
      </c>
      <c r="H24" s="6"/>
      <c r="J24" s="1"/>
      <c r="K24" s="6"/>
    </row>
    <row r="25" spans="1:11" x14ac:dyDescent="0.55000000000000004">
      <c r="A25" s="45">
        <v>25</v>
      </c>
      <c r="B25" t="s">
        <v>60</v>
      </c>
      <c r="D25" s="71" t="s">
        <v>61</v>
      </c>
      <c r="E25" s="6" t="s">
        <v>62</v>
      </c>
      <c r="F25" s="54">
        <f>$F$7*1000/250</f>
        <v>92</v>
      </c>
      <c r="G25" s="6" t="s">
        <v>30</v>
      </c>
      <c r="I25" s="7"/>
    </row>
    <row r="26" spans="1:11" x14ac:dyDescent="0.55000000000000004">
      <c r="A26" s="45">
        <v>26</v>
      </c>
      <c r="B26" t="s">
        <v>20</v>
      </c>
      <c r="E26" t="s">
        <v>175</v>
      </c>
      <c r="I26" s="6" t="s">
        <v>284</v>
      </c>
      <c r="J26" s="67">
        <v>0.35</v>
      </c>
    </row>
    <row r="27" spans="1:11" x14ac:dyDescent="0.55000000000000004">
      <c r="A27" s="45">
        <v>27</v>
      </c>
    </row>
    <row r="28" spans="1:11" x14ac:dyDescent="0.55000000000000004">
      <c r="A28" s="45">
        <v>28</v>
      </c>
      <c r="B28" t="s">
        <v>85</v>
      </c>
      <c r="E28" s="6" t="s">
        <v>86</v>
      </c>
      <c r="F28" s="67">
        <v>2.2000000000000002</v>
      </c>
      <c r="H28" t="s">
        <v>176</v>
      </c>
    </row>
    <row r="29" spans="1:11" x14ac:dyDescent="0.55000000000000004">
      <c r="A29" s="45">
        <v>29</v>
      </c>
    </row>
    <row r="30" spans="1:11" x14ac:dyDescent="0.55000000000000004">
      <c r="A30" s="45">
        <v>30</v>
      </c>
      <c r="B30" t="s">
        <v>71</v>
      </c>
    </row>
    <row r="31" spans="1:11" x14ac:dyDescent="0.55000000000000004">
      <c r="A31" s="45">
        <v>31</v>
      </c>
      <c r="C31" t="s">
        <v>12</v>
      </c>
      <c r="D31" s="49">
        <f>$F$19</f>
        <v>15</v>
      </c>
      <c r="F31" t="s">
        <v>13</v>
      </c>
      <c r="H31" s="72">
        <f>$F$20*$F$21</f>
        <v>200</v>
      </c>
      <c r="I31" s="6" t="s">
        <v>67</v>
      </c>
      <c r="K31" t="s">
        <v>177</v>
      </c>
    </row>
    <row r="32" spans="1:11" x14ac:dyDescent="0.55000000000000004">
      <c r="A32" s="45">
        <v>32</v>
      </c>
      <c r="C32" s="22" t="s">
        <v>63</v>
      </c>
      <c r="D32" s="72">
        <f>$F$22</f>
        <v>8</v>
      </c>
      <c r="F32" t="s">
        <v>64</v>
      </c>
      <c r="H32" s="48">
        <f>$F$18*$D$32</f>
        <v>44</v>
      </c>
      <c r="I32" s="6" t="s">
        <v>66</v>
      </c>
      <c r="K32" t="s">
        <v>65</v>
      </c>
    </row>
    <row r="33" spans="1:14" x14ac:dyDescent="0.55000000000000004">
      <c r="A33" s="45">
        <v>33</v>
      </c>
      <c r="C33" t="s">
        <v>14</v>
      </c>
      <c r="E33" s="22" t="s">
        <v>68</v>
      </c>
      <c r="H33" s="48">
        <f>$D$31*$H$31*$H$32</f>
        <v>132000</v>
      </c>
      <c r="I33" s="6" t="s">
        <v>15</v>
      </c>
      <c r="J33" s="6"/>
      <c r="K33" t="s">
        <v>17</v>
      </c>
      <c r="L33" s="67" t="s">
        <v>178</v>
      </c>
    </row>
    <row r="34" spans="1:14" x14ac:dyDescent="0.55000000000000004">
      <c r="A34" s="45">
        <v>34</v>
      </c>
      <c r="B34" s="45" t="s">
        <v>200</v>
      </c>
      <c r="C34" s="45" t="s">
        <v>201</v>
      </c>
      <c r="D34" s="45" t="s">
        <v>202</v>
      </c>
      <c r="E34" s="45" t="s">
        <v>203</v>
      </c>
      <c r="F34" s="45" t="s">
        <v>204</v>
      </c>
      <c r="G34" s="45" t="s">
        <v>205</v>
      </c>
      <c r="H34" s="45" t="s">
        <v>206</v>
      </c>
      <c r="I34" s="45" t="s">
        <v>207</v>
      </c>
      <c r="J34" s="45" t="s">
        <v>208</v>
      </c>
      <c r="K34" s="45" t="s">
        <v>209</v>
      </c>
      <c r="L34" s="45" t="s">
        <v>74</v>
      </c>
      <c r="M34" s="45" t="s">
        <v>210</v>
      </c>
      <c r="N34" s="45" t="s">
        <v>164</v>
      </c>
    </row>
    <row r="35" spans="1:14" x14ac:dyDescent="0.55000000000000004">
      <c r="A35" s="45">
        <v>35</v>
      </c>
      <c r="C35" t="s">
        <v>16</v>
      </c>
      <c r="F35" s="1" t="s">
        <v>69</v>
      </c>
      <c r="G35" s="76">
        <f>$E$17</f>
        <v>2</v>
      </c>
      <c r="H35" s="6"/>
      <c r="M35" s="6"/>
    </row>
    <row r="36" spans="1:14" x14ac:dyDescent="0.55000000000000004">
      <c r="A36" s="45">
        <v>36</v>
      </c>
      <c r="C36" t="s">
        <v>19</v>
      </c>
      <c r="F36" s="69" t="str">
        <f>L33</f>
        <v>U4</v>
      </c>
      <c r="G36" s="69" t="str">
        <f>"Q"&amp;G35</f>
        <v>Q2</v>
      </c>
      <c r="H36" s="8" t="s">
        <v>18</v>
      </c>
      <c r="I36" s="67" t="s">
        <v>179</v>
      </c>
    </row>
    <row r="37" spans="1:14" x14ac:dyDescent="0.55000000000000004">
      <c r="A37" s="45">
        <v>37</v>
      </c>
    </row>
    <row r="38" spans="1:14" x14ac:dyDescent="0.55000000000000004">
      <c r="A38" s="45">
        <v>38</v>
      </c>
      <c r="B38" t="s">
        <v>72</v>
      </c>
    </row>
    <row r="39" spans="1:14" x14ac:dyDescent="0.55000000000000004">
      <c r="A39" s="45">
        <v>39</v>
      </c>
      <c r="C39" t="s">
        <v>21</v>
      </c>
      <c r="F39" t="s">
        <v>73</v>
      </c>
      <c r="J39" s="49">
        <f>D31*H31*D32</f>
        <v>24000</v>
      </c>
      <c r="K39" s="6" t="s">
        <v>22</v>
      </c>
      <c r="M39" s="6"/>
    </row>
    <row r="40" spans="1:14" x14ac:dyDescent="0.55000000000000004">
      <c r="A40" s="45">
        <v>40</v>
      </c>
      <c r="C40" t="s">
        <v>23</v>
      </c>
      <c r="H40" s="49">
        <f>J26*J39</f>
        <v>8400</v>
      </c>
      <c r="I40" s="6" t="s">
        <v>22</v>
      </c>
      <c r="J40" t="s">
        <v>24</v>
      </c>
      <c r="L40" s="67" t="s">
        <v>180</v>
      </c>
    </row>
    <row r="41" spans="1:14" x14ac:dyDescent="0.55000000000000004">
      <c r="A41" s="45">
        <v>41</v>
      </c>
      <c r="C41" t="s">
        <v>25</v>
      </c>
      <c r="F41" s="1" t="s">
        <v>74</v>
      </c>
      <c r="G41" s="29">
        <f>$E$17</f>
        <v>2</v>
      </c>
      <c r="H41" s="6"/>
    </row>
    <row r="42" spans="1:14" x14ac:dyDescent="0.55000000000000004">
      <c r="A42" s="45">
        <v>42</v>
      </c>
      <c r="C42" t="s">
        <v>26</v>
      </c>
      <c r="F42" s="72" t="str">
        <f>L40</f>
        <v>T6</v>
      </c>
      <c r="G42" s="72" t="str">
        <f>"L"&amp;G41</f>
        <v>L2</v>
      </c>
      <c r="H42" s="8" t="s">
        <v>18</v>
      </c>
      <c r="I42" s="67" t="s">
        <v>181</v>
      </c>
    </row>
    <row r="43" spans="1:14" x14ac:dyDescent="0.55000000000000004">
      <c r="A43" s="45">
        <v>43</v>
      </c>
    </row>
    <row r="44" spans="1:14" x14ac:dyDescent="0.55000000000000004">
      <c r="A44" s="45">
        <v>44</v>
      </c>
      <c r="B44" s="4" t="s">
        <v>76</v>
      </c>
      <c r="G44" s="72" t="str">
        <f>I36</f>
        <v>A4</v>
      </c>
      <c r="H44" s="8" t="s">
        <v>18</v>
      </c>
      <c r="I44" s="30" t="s">
        <v>77</v>
      </c>
      <c r="J44" s="16" t="s">
        <v>27</v>
      </c>
      <c r="K44" s="78">
        <v>1.08</v>
      </c>
    </row>
    <row r="45" spans="1:14" x14ac:dyDescent="0.55000000000000004">
      <c r="A45" s="45">
        <v>45</v>
      </c>
    </row>
    <row r="46" spans="1:14" x14ac:dyDescent="0.55000000000000004">
      <c r="A46" s="45">
        <v>46</v>
      </c>
      <c r="B46" t="s">
        <v>78</v>
      </c>
      <c r="D46" s="6" t="s">
        <v>79</v>
      </c>
      <c r="E46" s="6" t="s">
        <v>27</v>
      </c>
      <c r="F46" s="49">
        <f>$F$23</f>
        <v>0.5</v>
      </c>
      <c r="G46" s="6" t="s">
        <v>56</v>
      </c>
    </row>
    <row r="47" spans="1:14" x14ac:dyDescent="0.55000000000000004">
      <c r="A47" s="45">
        <v>47</v>
      </c>
      <c r="D47" t="s">
        <v>80</v>
      </c>
      <c r="H47" s="6" t="s">
        <v>81</v>
      </c>
      <c r="I47" s="6" t="s">
        <v>27</v>
      </c>
      <c r="J47" s="67">
        <v>0.6</v>
      </c>
    </row>
    <row r="48" spans="1:14" x14ac:dyDescent="0.55000000000000004">
      <c r="A48" s="45">
        <v>48</v>
      </c>
    </row>
    <row r="49" spans="1:14" x14ac:dyDescent="0.55000000000000004">
      <c r="A49" s="45">
        <v>49</v>
      </c>
      <c r="B49" s="4" t="s">
        <v>82</v>
      </c>
      <c r="E49" s="31" t="s">
        <v>83</v>
      </c>
      <c r="F49" s="32" t="s">
        <v>84</v>
      </c>
      <c r="G49" s="33"/>
      <c r="H49" s="49">
        <f>1+J47*F46</f>
        <v>1.3</v>
      </c>
      <c r="J49" t="s">
        <v>296</v>
      </c>
    </row>
    <row r="50" spans="1:14" x14ac:dyDescent="0.55000000000000004">
      <c r="A50" s="45">
        <v>50</v>
      </c>
    </row>
    <row r="51" spans="1:14" x14ac:dyDescent="0.55000000000000004">
      <c r="A51" s="45">
        <v>51</v>
      </c>
      <c r="B51" t="s">
        <v>87</v>
      </c>
      <c r="E51" t="s">
        <v>297</v>
      </c>
      <c r="H51" s="50">
        <f>$F$16/$F$28</f>
        <v>124.99999999999999</v>
      </c>
      <c r="I51" s="6" t="s">
        <v>34</v>
      </c>
    </row>
    <row r="52" spans="1:14" x14ac:dyDescent="0.55000000000000004">
      <c r="A52" s="45">
        <v>52</v>
      </c>
    </row>
    <row r="53" spans="1:14" x14ac:dyDescent="0.55000000000000004">
      <c r="A53" s="45">
        <v>53</v>
      </c>
      <c r="B53" t="s">
        <v>90</v>
      </c>
    </row>
    <row r="54" spans="1:14" x14ac:dyDescent="0.55000000000000004">
      <c r="A54" s="45">
        <v>54</v>
      </c>
      <c r="C54" t="s">
        <v>91</v>
      </c>
      <c r="E54" s="6" t="s">
        <v>6</v>
      </c>
      <c r="F54" s="51">
        <f>E11</f>
        <v>10700</v>
      </c>
      <c r="G54" s="6" t="s">
        <v>32</v>
      </c>
      <c r="H54" s="19"/>
      <c r="I54" s="6"/>
    </row>
    <row r="55" spans="1:14" x14ac:dyDescent="0.55000000000000004">
      <c r="A55" s="45">
        <v>55</v>
      </c>
      <c r="C55" t="s">
        <v>92</v>
      </c>
      <c r="E55" s="6" t="s">
        <v>93</v>
      </c>
      <c r="F55" s="51">
        <f>E12</f>
        <v>240100000</v>
      </c>
      <c r="G55" s="6" t="s">
        <v>33</v>
      </c>
      <c r="H55" s="26"/>
      <c r="I55" s="6"/>
    </row>
    <row r="56" spans="1:14" x14ac:dyDescent="0.55000000000000004">
      <c r="A56" s="45">
        <v>56</v>
      </c>
      <c r="C56" s="27" t="s">
        <v>182</v>
      </c>
      <c r="D56" s="6"/>
      <c r="E56" s="6" t="s">
        <v>154</v>
      </c>
      <c r="F56" s="49">
        <f>I13</f>
        <v>4192.2</v>
      </c>
      <c r="G56" s="6" t="s">
        <v>32</v>
      </c>
      <c r="H56" s="6"/>
      <c r="I56" s="6"/>
      <c r="J56" s="6"/>
      <c r="K56" s="6"/>
    </row>
    <row r="57" spans="1:14" x14ac:dyDescent="0.55000000000000004">
      <c r="A57" s="45">
        <v>57</v>
      </c>
      <c r="C57" s="6"/>
      <c r="F57" s="6"/>
      <c r="G57" s="6"/>
      <c r="I57" s="6"/>
      <c r="L57" s="6"/>
      <c r="M57" s="6"/>
    </row>
    <row r="58" spans="1:14" x14ac:dyDescent="0.55000000000000004">
      <c r="A58" s="45">
        <v>58</v>
      </c>
      <c r="B58" t="s">
        <v>94</v>
      </c>
    </row>
    <row r="59" spans="1:14" x14ac:dyDescent="0.55000000000000004">
      <c r="A59" s="45">
        <v>59</v>
      </c>
      <c r="B59" t="s">
        <v>95</v>
      </c>
    </row>
    <row r="60" spans="1:14" x14ac:dyDescent="0.55000000000000004">
      <c r="A60" s="45">
        <v>60</v>
      </c>
      <c r="B60" t="s">
        <v>96</v>
      </c>
    </row>
    <row r="61" spans="1:14" x14ac:dyDescent="0.55000000000000004">
      <c r="A61" s="45">
        <v>61</v>
      </c>
      <c r="B61" t="s">
        <v>97</v>
      </c>
    </row>
    <row r="62" spans="1:14" x14ac:dyDescent="0.55000000000000004">
      <c r="A62" s="45">
        <v>62</v>
      </c>
    </row>
    <row r="63" spans="1:14" x14ac:dyDescent="0.55000000000000004">
      <c r="A63" s="45">
        <v>63</v>
      </c>
      <c r="C63" t="s">
        <v>100</v>
      </c>
      <c r="F63" s="6" t="s">
        <v>101</v>
      </c>
      <c r="G63" s="6">
        <v>7850</v>
      </c>
      <c r="H63" s="6" t="s">
        <v>102</v>
      </c>
      <c r="I63" s="6" t="s">
        <v>27</v>
      </c>
      <c r="J63" s="54">
        <f>G63*9.806/1000</f>
        <v>76.977099999999993</v>
      </c>
      <c r="K63" s="6" t="s">
        <v>103</v>
      </c>
    </row>
    <row r="64" spans="1:14" ht="16.8" customHeight="1" x14ac:dyDescent="0.55000000000000004">
      <c r="A64" s="45">
        <v>64</v>
      </c>
      <c r="B64" t="s">
        <v>98</v>
      </c>
      <c r="F64" s="6" t="s">
        <v>106</v>
      </c>
      <c r="G64" t="s">
        <v>99</v>
      </c>
      <c r="I64" s="81">
        <f>$F$54*$F$7*$J$63/10^6</f>
        <v>18.944064309999998</v>
      </c>
      <c r="J64" s="6" t="s">
        <v>28</v>
      </c>
      <c r="L64" t="s">
        <v>195</v>
      </c>
      <c r="M64" s="52">
        <f>I64/F7</f>
        <v>0.82365496999999988</v>
      </c>
      <c r="N64" s="6" t="s">
        <v>194</v>
      </c>
    </row>
    <row r="65" spans="1:14" x14ac:dyDescent="0.55000000000000004">
      <c r="A65" s="45">
        <v>65</v>
      </c>
      <c r="C65" t="s">
        <v>104</v>
      </c>
      <c r="G65" s="6" t="s">
        <v>105</v>
      </c>
      <c r="H65" s="6" t="s">
        <v>107</v>
      </c>
      <c r="I65" s="54">
        <f>I64/2</f>
        <v>9.4720321549999991</v>
      </c>
      <c r="J65" s="6" t="s">
        <v>28</v>
      </c>
    </row>
    <row r="66" spans="1:14" x14ac:dyDescent="0.55000000000000004">
      <c r="A66" s="45">
        <v>66</v>
      </c>
      <c r="C66" t="s">
        <v>108</v>
      </c>
      <c r="F66" s="6" t="s">
        <v>109</v>
      </c>
      <c r="G66" t="s">
        <v>196</v>
      </c>
      <c r="I66" s="54">
        <f>(M64*(F7^2)/8)</f>
        <v>54.464184891249992</v>
      </c>
      <c r="J66" s="6" t="s">
        <v>29</v>
      </c>
    </row>
    <row r="67" spans="1:14" x14ac:dyDescent="0.55000000000000004">
      <c r="A67" s="45">
        <v>67</v>
      </c>
      <c r="B67" s="45" t="s">
        <v>200</v>
      </c>
      <c r="C67" s="45" t="s">
        <v>201</v>
      </c>
      <c r="D67" s="45" t="s">
        <v>202</v>
      </c>
      <c r="E67" s="45" t="s">
        <v>203</v>
      </c>
      <c r="F67" s="45" t="s">
        <v>204</v>
      </c>
      <c r="G67" s="45" t="s">
        <v>205</v>
      </c>
      <c r="H67" s="45" t="s">
        <v>206</v>
      </c>
      <c r="I67" s="45" t="s">
        <v>207</v>
      </c>
      <c r="J67" s="45" t="s">
        <v>208</v>
      </c>
      <c r="K67" s="45" t="s">
        <v>209</v>
      </c>
      <c r="L67" s="45" t="s">
        <v>74</v>
      </c>
      <c r="M67" s="45" t="s">
        <v>210</v>
      </c>
      <c r="N67" s="45" t="s">
        <v>164</v>
      </c>
    </row>
    <row r="68" spans="1:14" x14ac:dyDescent="0.55000000000000004">
      <c r="A68" s="45">
        <v>68</v>
      </c>
      <c r="B68" t="s">
        <v>183</v>
      </c>
      <c r="F68" t="s">
        <v>110</v>
      </c>
      <c r="G68" s="6" t="s">
        <v>184</v>
      </c>
      <c r="H68" s="54">
        <f>F9/1000</f>
        <v>2.8</v>
      </c>
      <c r="I68" s="6" t="s">
        <v>28</v>
      </c>
    </row>
    <row r="69" spans="1:14" x14ac:dyDescent="0.55000000000000004">
      <c r="A69" s="45">
        <v>69</v>
      </c>
      <c r="C69" t="s">
        <v>111</v>
      </c>
      <c r="G69" s="6" t="s">
        <v>112</v>
      </c>
      <c r="H69" s="6" t="s">
        <v>113</v>
      </c>
      <c r="I69" s="54">
        <f>H68/2</f>
        <v>1.4</v>
      </c>
      <c r="J69" s="6" t="s">
        <v>28</v>
      </c>
    </row>
    <row r="70" spans="1:14" x14ac:dyDescent="0.55000000000000004">
      <c r="A70" s="45">
        <v>70</v>
      </c>
      <c r="C70" t="s">
        <v>114</v>
      </c>
      <c r="F70" t="s">
        <v>115</v>
      </c>
      <c r="G70" t="s">
        <v>116</v>
      </c>
      <c r="I70" s="54">
        <f>I69*((F7-F8)/2)</f>
        <v>16.099999999999998</v>
      </c>
      <c r="J70" s="6" t="s">
        <v>29</v>
      </c>
    </row>
    <row r="71" spans="1:14" x14ac:dyDescent="0.55000000000000004">
      <c r="A71" s="45">
        <v>71</v>
      </c>
      <c r="B71" t="s">
        <v>185</v>
      </c>
      <c r="F71" t="s">
        <v>118</v>
      </c>
      <c r="G71" t="s">
        <v>186</v>
      </c>
    </row>
    <row r="72" spans="1:14" x14ac:dyDescent="0.55000000000000004">
      <c r="A72" s="45">
        <v>72</v>
      </c>
      <c r="C72" t="s">
        <v>117</v>
      </c>
      <c r="G72" t="s">
        <v>132</v>
      </c>
    </row>
    <row r="73" spans="1:14" x14ac:dyDescent="0.55000000000000004">
      <c r="A73" s="45">
        <v>73</v>
      </c>
      <c r="C73" t="s">
        <v>119</v>
      </c>
      <c r="F73" t="s">
        <v>120</v>
      </c>
      <c r="G73" t="s">
        <v>121</v>
      </c>
    </row>
    <row r="74" spans="1:14" x14ac:dyDescent="0.55000000000000004">
      <c r="A74" s="45">
        <v>74</v>
      </c>
    </row>
    <row r="75" spans="1:14" x14ac:dyDescent="0.55000000000000004">
      <c r="A75" s="45">
        <v>75</v>
      </c>
      <c r="C75" t="s">
        <v>122</v>
      </c>
      <c r="E75" t="s">
        <v>123</v>
      </c>
      <c r="F75" t="s">
        <v>124</v>
      </c>
      <c r="I75" t="s">
        <v>187</v>
      </c>
    </row>
    <row r="76" spans="1:14" x14ac:dyDescent="0.55000000000000004">
      <c r="A76" s="45">
        <v>76</v>
      </c>
    </row>
    <row r="77" spans="1:14" x14ac:dyDescent="0.55000000000000004">
      <c r="A77" s="45">
        <v>77</v>
      </c>
      <c r="B77" t="s">
        <v>125</v>
      </c>
      <c r="F77" t="s">
        <v>188</v>
      </c>
      <c r="H77" s="8" t="s">
        <v>18</v>
      </c>
      <c r="I77" t="s">
        <v>189</v>
      </c>
    </row>
    <row r="78" spans="1:14" x14ac:dyDescent="0.55000000000000004">
      <c r="A78" s="45">
        <v>78</v>
      </c>
      <c r="C78" t="s">
        <v>126</v>
      </c>
      <c r="D78" s="54">
        <f>H51*E13/10^6</f>
        <v>157.49999999999997</v>
      </c>
      <c r="E78" s="6" t="s">
        <v>29</v>
      </c>
    </row>
    <row r="79" spans="1:14" x14ac:dyDescent="0.55000000000000004">
      <c r="A79" s="45">
        <v>79</v>
      </c>
    </row>
    <row r="80" spans="1:14" x14ac:dyDescent="0.55000000000000004">
      <c r="A80" s="45">
        <v>80</v>
      </c>
      <c r="B80" t="s">
        <v>127</v>
      </c>
      <c r="G80" t="s">
        <v>128</v>
      </c>
      <c r="H80" t="s">
        <v>129</v>
      </c>
    </row>
    <row r="81" spans="1:28" x14ac:dyDescent="0.55000000000000004">
      <c r="A81" s="45">
        <v>81</v>
      </c>
      <c r="C81" t="s">
        <v>120</v>
      </c>
      <c r="D81" s="54">
        <f>(D78/K44)-I66-I70</f>
        <v>75.269148442083292</v>
      </c>
      <c r="E81" s="6" t="s">
        <v>29</v>
      </c>
    </row>
    <row r="82" spans="1:28" x14ac:dyDescent="0.55000000000000004">
      <c r="A82" s="45">
        <v>82</v>
      </c>
      <c r="C82" t="s">
        <v>130</v>
      </c>
      <c r="D82" t="s">
        <v>131</v>
      </c>
      <c r="F82" s="54">
        <f>D81/((F7-F8)/2)</f>
        <v>6.5451433427898511</v>
      </c>
      <c r="G82" s="6" t="s">
        <v>28</v>
      </c>
      <c r="I82" t="s">
        <v>133</v>
      </c>
      <c r="K82" s="54">
        <f>2*F82</f>
        <v>13.090286685579702</v>
      </c>
      <c r="L82" s="6" t="s">
        <v>28</v>
      </c>
    </row>
    <row r="83" spans="1:28" x14ac:dyDescent="0.55000000000000004">
      <c r="A83" s="45">
        <v>83</v>
      </c>
      <c r="C83" s="21" t="s">
        <v>190</v>
      </c>
      <c r="D83" s="18" t="s">
        <v>191</v>
      </c>
      <c r="E83" s="18"/>
      <c r="F83" s="54">
        <f>K82/H49</f>
        <v>10.069451296599771</v>
      </c>
      <c r="G83" s="17" t="s">
        <v>28</v>
      </c>
      <c r="I83" s="4" t="s">
        <v>134</v>
      </c>
      <c r="P83" s="4"/>
    </row>
    <row r="84" spans="1:28" x14ac:dyDescent="0.55000000000000004">
      <c r="A84" s="45">
        <v>84</v>
      </c>
    </row>
    <row r="85" spans="1:28" x14ac:dyDescent="0.55000000000000004">
      <c r="A85" s="45">
        <v>85</v>
      </c>
      <c r="B85" t="s">
        <v>321</v>
      </c>
    </row>
    <row r="86" spans="1:28" x14ac:dyDescent="0.55000000000000004">
      <c r="A86" s="45">
        <v>86</v>
      </c>
      <c r="B86" t="s">
        <v>138</v>
      </c>
      <c r="F86" t="s">
        <v>137</v>
      </c>
      <c r="G86" s="54">
        <f>$F$25</f>
        <v>92</v>
      </c>
      <c r="H86" s="6" t="s">
        <v>30</v>
      </c>
      <c r="J86" t="s">
        <v>311</v>
      </c>
      <c r="L86" s="6" t="s">
        <v>10</v>
      </c>
      <c r="M86" s="82">
        <v>210000</v>
      </c>
      <c r="N86" s="6" t="s">
        <v>34</v>
      </c>
    </row>
    <row r="87" spans="1:28" s="46" customFormat="1" x14ac:dyDescent="0.55000000000000004">
      <c r="A87" s="45">
        <v>87</v>
      </c>
      <c r="C87" s="46" t="s">
        <v>136</v>
      </c>
      <c r="G87" s="46" t="s">
        <v>139</v>
      </c>
      <c r="H87" s="46" t="s">
        <v>140</v>
      </c>
      <c r="J87" s="46" t="s">
        <v>142</v>
      </c>
      <c r="L87" s="55">
        <f>5*($I$64*1000)*(($F$7*1000)^3)/(384*$M$86*$F$55)</f>
        <v>59.522887717649162</v>
      </c>
      <c r="M87" s="47" t="s">
        <v>30</v>
      </c>
    </row>
    <row r="88" spans="1:28" s="46" customFormat="1" x14ac:dyDescent="0.55000000000000004">
      <c r="A88" s="45">
        <v>88</v>
      </c>
      <c r="C88" s="46" t="s">
        <v>143</v>
      </c>
      <c r="G88" s="46" t="s">
        <v>144</v>
      </c>
      <c r="H88" s="46" t="s">
        <v>145</v>
      </c>
      <c r="L88" s="55">
        <f>($H$68*1000)*(($F$7*1000)^3)/(48*$M$86*$F$55)</f>
        <v>14.076310796427414</v>
      </c>
      <c r="M88" s="47" t="s">
        <v>30</v>
      </c>
    </row>
    <row r="89" spans="1:28" x14ac:dyDescent="0.55000000000000004">
      <c r="A89" s="45">
        <v>89</v>
      </c>
      <c r="C89" t="s">
        <v>146</v>
      </c>
      <c r="F89" s="6" t="s">
        <v>147</v>
      </c>
      <c r="G89" t="s">
        <v>148</v>
      </c>
      <c r="J89" s="54">
        <f>G86-(L87+L88)</f>
        <v>18.400801485923424</v>
      </c>
      <c r="K89" s="6" t="s">
        <v>30</v>
      </c>
    </row>
    <row r="90" spans="1:28" s="46" customFormat="1" x14ac:dyDescent="0.55000000000000004">
      <c r="A90" s="45">
        <v>90</v>
      </c>
      <c r="D90" s="46" t="s">
        <v>150</v>
      </c>
      <c r="G90" s="47" t="s">
        <v>118</v>
      </c>
      <c r="H90" s="46" t="s">
        <v>149</v>
      </c>
      <c r="J90" s="55">
        <f>48*M86*F55*J89/((F7*1000)^3*1000)</f>
        <v>3.6602093336602088</v>
      </c>
      <c r="K90" s="47" t="s">
        <v>28</v>
      </c>
      <c r="U90" s="47"/>
      <c r="W90" s="47"/>
      <c r="X90" s="56"/>
      <c r="Y90" s="47"/>
      <c r="Z90" s="57"/>
      <c r="AA90" s="58"/>
      <c r="AB90" s="47"/>
    </row>
    <row r="91" spans="1:28" x14ac:dyDescent="0.55000000000000004">
      <c r="A91" s="45">
        <v>91</v>
      </c>
      <c r="C91" s="21" t="s">
        <v>192</v>
      </c>
      <c r="D91" s="18" t="s">
        <v>118</v>
      </c>
      <c r="E91" s="18"/>
      <c r="F91" s="54">
        <f>J90</f>
        <v>3.6602093336602088</v>
      </c>
      <c r="G91" s="17" t="s">
        <v>28</v>
      </c>
      <c r="I91" s="4" t="s">
        <v>151</v>
      </c>
    </row>
    <row r="92" spans="1:28" ht="114" customHeight="1" x14ac:dyDescent="0.55000000000000004">
      <c r="A92" s="45">
        <v>92</v>
      </c>
    </row>
    <row r="93" spans="1:28" x14ac:dyDescent="0.55000000000000004">
      <c r="A93" s="45">
        <v>93</v>
      </c>
      <c r="B93" s="45" t="s">
        <v>200</v>
      </c>
      <c r="C93" s="45" t="s">
        <v>201</v>
      </c>
      <c r="D93" s="45" t="s">
        <v>202</v>
      </c>
      <c r="E93" s="45" t="s">
        <v>203</v>
      </c>
      <c r="F93" s="45" t="s">
        <v>204</v>
      </c>
      <c r="G93" s="45" t="s">
        <v>205</v>
      </c>
      <c r="H93" s="45" t="s">
        <v>206</v>
      </c>
      <c r="I93" s="45" t="s">
        <v>207</v>
      </c>
      <c r="J93" s="45" t="s">
        <v>208</v>
      </c>
      <c r="K93" s="45" t="s">
        <v>209</v>
      </c>
      <c r="L93" s="45" t="s">
        <v>74</v>
      </c>
      <c r="M93" s="45" t="s">
        <v>210</v>
      </c>
      <c r="Q93" s="4"/>
      <c r="U93" s="37"/>
      <c r="V93" s="3"/>
      <c r="W93" s="38"/>
      <c r="X93" s="3"/>
      <c r="Y93" s="3"/>
    </row>
    <row r="94" spans="1:28" x14ac:dyDescent="0.55000000000000004">
      <c r="A94" s="45">
        <v>94</v>
      </c>
      <c r="B94" s="4" t="s">
        <v>152</v>
      </c>
      <c r="AA94" s="23"/>
      <c r="AB94" s="6"/>
    </row>
    <row r="95" spans="1:28" x14ac:dyDescent="0.55000000000000004">
      <c r="A95" s="45">
        <v>95</v>
      </c>
      <c r="C95" t="s">
        <v>153</v>
      </c>
      <c r="F95" t="s">
        <v>154</v>
      </c>
      <c r="H95" s="83">
        <f>F56</f>
        <v>4192.2</v>
      </c>
      <c r="I95" s="6" t="s">
        <v>32</v>
      </c>
    </row>
    <row r="96" spans="1:28" x14ac:dyDescent="0.55000000000000004">
      <c r="A96" s="45">
        <v>96</v>
      </c>
      <c r="C96" t="s">
        <v>155</v>
      </c>
    </row>
    <row r="97" spans="1:27" s="46" customFormat="1" ht="47.4" customHeight="1" x14ac:dyDescent="0.55000000000000004">
      <c r="A97" s="45">
        <v>97</v>
      </c>
      <c r="D97" s="46" t="s">
        <v>156</v>
      </c>
      <c r="E97" s="46" t="s">
        <v>193</v>
      </c>
      <c r="K97" s="55">
        <f>K44*(I64+((H49*F83)+H68)*(F7-(F8/2))/F7)</f>
        <v>37.621099075226077</v>
      </c>
      <c r="L97" s="47" t="s">
        <v>28</v>
      </c>
    </row>
    <row r="98" spans="1:27" x14ac:dyDescent="0.55000000000000004">
      <c r="A98" s="45">
        <v>98</v>
      </c>
      <c r="C98" s="3" t="s">
        <v>157</v>
      </c>
      <c r="D98" t="s">
        <v>158</v>
      </c>
      <c r="E98" s="54">
        <f>K97*1000/H95</f>
        <v>8.9740706729702975</v>
      </c>
      <c r="F98" s="4" t="s">
        <v>34</v>
      </c>
      <c r="G98" s="4"/>
      <c r="H98" s="85" t="str">
        <f>IF(E98 &lt; (0.577*H51), "ADMISIBLE", "NO ADMISIBLE")</f>
        <v>ADMISIBLE</v>
      </c>
      <c r="P98" s="4"/>
    </row>
    <row r="99" spans="1:27" x14ac:dyDescent="0.55000000000000004">
      <c r="A99" s="45">
        <v>99</v>
      </c>
    </row>
    <row r="100" spans="1:27" x14ac:dyDescent="0.55000000000000004">
      <c r="A100" s="45">
        <v>100</v>
      </c>
      <c r="S100" s="6"/>
      <c r="T100" s="6"/>
      <c r="U100" s="6"/>
      <c r="V100" s="6"/>
      <c r="W100" s="6"/>
      <c r="X100" s="6"/>
      <c r="Y100" s="6"/>
      <c r="Z100" s="6"/>
      <c r="AA100" s="6"/>
    </row>
    <row r="101" spans="1:27" x14ac:dyDescent="0.55000000000000004">
      <c r="A101" s="45">
        <v>101</v>
      </c>
    </row>
    <row r="102" spans="1:27" x14ac:dyDescent="0.55000000000000004">
      <c r="A102" s="45">
        <v>102</v>
      </c>
      <c r="C102" s="61"/>
      <c r="T102" s="6"/>
      <c r="U102" s="6"/>
      <c r="Z102" s="6"/>
      <c r="AA102" s="6"/>
    </row>
    <row r="103" spans="1:27" x14ac:dyDescent="0.55000000000000004">
      <c r="A103" s="45">
        <v>103</v>
      </c>
      <c r="U103" s="6"/>
      <c r="V103" s="6"/>
    </row>
    <row r="104" spans="1:27" x14ac:dyDescent="0.55000000000000004">
      <c r="U104" s="26"/>
      <c r="V104" s="6"/>
    </row>
    <row r="105" spans="1:27" x14ac:dyDescent="0.55000000000000004">
      <c r="T105" s="6"/>
      <c r="U105" s="6"/>
    </row>
    <row r="106" spans="1:27" x14ac:dyDescent="0.55000000000000004">
      <c r="U106" s="26"/>
      <c r="V106" s="6"/>
    </row>
    <row r="107" spans="1:27" x14ac:dyDescent="0.55000000000000004">
      <c r="V107" s="25"/>
    </row>
    <row r="109" spans="1:27" x14ac:dyDescent="0.55000000000000004">
      <c r="S109" s="3"/>
      <c r="T109" s="3"/>
      <c r="U109" s="3"/>
      <c r="V109" s="3"/>
      <c r="W109" s="3"/>
      <c r="X109" s="3"/>
      <c r="Y109" s="3"/>
      <c r="Z109" s="3"/>
      <c r="AA109" s="3"/>
    </row>
    <row r="111" spans="1:27" x14ac:dyDescent="0.55000000000000004">
      <c r="T111" s="6"/>
      <c r="U111" s="6"/>
      <c r="Z111" s="6"/>
      <c r="AA111" s="6"/>
    </row>
    <row r="112" spans="1:27" x14ac:dyDescent="0.55000000000000004">
      <c r="U112" s="6"/>
      <c r="V112" s="6"/>
    </row>
    <row r="113" spans="20:25" x14ac:dyDescent="0.55000000000000004">
      <c r="U113" s="26"/>
      <c r="V113" s="6"/>
    </row>
    <row r="114" spans="20:25" x14ac:dyDescent="0.55000000000000004">
      <c r="T114" s="6"/>
      <c r="U114" s="6"/>
    </row>
    <row r="115" spans="20:25" x14ac:dyDescent="0.55000000000000004">
      <c r="U115" s="26"/>
      <c r="V115" s="6"/>
    </row>
    <row r="116" spans="20:25" x14ac:dyDescent="0.55000000000000004">
      <c r="V116" s="34"/>
      <c r="W116" s="4"/>
      <c r="X116" s="4"/>
      <c r="Y116" s="4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zoomScale="41" zoomScaleNormal="41" workbookViewId="0">
      <selection activeCell="J52" sqref="J52"/>
    </sheetView>
  </sheetViews>
  <sheetFormatPr baseColWidth="10" defaultColWidth="9.1015625" defaultRowHeight="14.4" x14ac:dyDescent="0.55000000000000004"/>
  <cols>
    <col min="1" max="3" width="9.68359375" customWidth="1"/>
    <col min="4" max="4" width="11.1015625" customWidth="1"/>
    <col min="5" max="5" width="11.20703125" customWidth="1"/>
    <col min="6" max="11" width="9.68359375" customWidth="1"/>
    <col min="12" max="12" width="11.41796875" customWidth="1"/>
    <col min="13" max="13" width="9.68359375" customWidth="1"/>
  </cols>
  <sheetData>
    <row r="1" spans="1:12" x14ac:dyDescent="0.55000000000000004">
      <c r="A1" t="s">
        <v>197</v>
      </c>
      <c r="F1" t="s">
        <v>278</v>
      </c>
    </row>
    <row r="3" spans="1:12" x14ac:dyDescent="0.55000000000000004">
      <c r="A3" t="s">
        <v>3</v>
      </c>
      <c r="B3" t="str">
        <f>VLOOKUP(L7,Listado!B3:C22,2,FALSE)</f>
        <v>Gutiérrez Alba, Manuela</v>
      </c>
      <c r="F3" t="s">
        <v>4</v>
      </c>
      <c r="I3" t="s">
        <v>5</v>
      </c>
    </row>
    <row r="6" spans="1:12" x14ac:dyDescent="0.55000000000000004">
      <c r="A6" s="9"/>
      <c r="K6" s="5"/>
      <c r="L6" s="5"/>
    </row>
    <row r="7" spans="1:12" x14ac:dyDescent="0.55000000000000004">
      <c r="A7" s="9" t="s">
        <v>35</v>
      </c>
      <c r="B7" s="6" t="s">
        <v>36</v>
      </c>
      <c r="C7" s="6" t="s">
        <v>163</v>
      </c>
      <c r="E7" s="19">
        <f>5+(2*$L$13)</f>
        <v>23</v>
      </c>
      <c r="F7" s="6" t="s">
        <v>11</v>
      </c>
      <c r="H7" s="6"/>
      <c r="J7" s="5"/>
      <c r="K7" s="40" t="s">
        <v>162</v>
      </c>
      <c r="L7" s="41" t="s">
        <v>277</v>
      </c>
    </row>
    <row r="8" spans="1:12" x14ac:dyDescent="0.55000000000000004">
      <c r="A8" t="s">
        <v>38</v>
      </c>
      <c r="D8" s="6" t="s">
        <v>37</v>
      </c>
      <c r="E8" s="6">
        <v>0</v>
      </c>
      <c r="F8" s="6" t="s">
        <v>11</v>
      </c>
      <c r="H8" s="6"/>
      <c r="K8" s="10" t="s">
        <v>6</v>
      </c>
      <c r="L8" s="13" t="str">
        <f>MID(L7,1,1)</f>
        <v>2</v>
      </c>
    </row>
    <row r="9" spans="1:12" x14ac:dyDescent="0.55000000000000004">
      <c r="A9" s="9" t="s">
        <v>39</v>
      </c>
      <c r="C9" t="s">
        <v>303</v>
      </c>
      <c r="E9" s="6">
        <f xml:space="preserve"> 1000 + (200*$L$13)</f>
        <v>2800</v>
      </c>
      <c r="F9" s="6" t="s">
        <v>164</v>
      </c>
      <c r="H9" s="6"/>
      <c r="J9" s="1"/>
      <c r="K9" s="11" t="s">
        <v>7</v>
      </c>
      <c r="L9" s="14" t="str">
        <f>MID(L7,2,1)</f>
        <v>5</v>
      </c>
    </row>
    <row r="10" spans="1:12" x14ac:dyDescent="0.55000000000000004">
      <c r="A10" t="s">
        <v>165</v>
      </c>
      <c r="E10" s="6">
        <f>300+(20*INT(L13/2))</f>
        <v>380</v>
      </c>
      <c r="F10" s="6" t="s">
        <v>30</v>
      </c>
      <c r="G10" s="1"/>
      <c r="H10" s="6"/>
      <c r="J10" s="1"/>
      <c r="K10" s="11" t="s">
        <v>1</v>
      </c>
      <c r="L10" s="14" t="str">
        <f>MID(L7,3,1)</f>
        <v>0</v>
      </c>
    </row>
    <row r="11" spans="1:12" x14ac:dyDescent="0.55000000000000004">
      <c r="B11" t="s">
        <v>166</v>
      </c>
      <c r="C11" t="s">
        <v>6</v>
      </c>
      <c r="D11" s="25">
        <v>10700</v>
      </c>
      <c r="E11" s="6" t="s">
        <v>32</v>
      </c>
      <c r="F11" s="6"/>
      <c r="G11" s="6" t="s">
        <v>170</v>
      </c>
      <c r="H11" s="6">
        <v>306</v>
      </c>
      <c r="I11" s="6" t="s">
        <v>30</v>
      </c>
      <c r="J11" s="1"/>
      <c r="K11" s="11" t="s">
        <v>0</v>
      </c>
      <c r="L11" s="14" t="str">
        <f>MID(L7,4,1)</f>
        <v>3</v>
      </c>
    </row>
    <row r="12" spans="1:12" x14ac:dyDescent="0.55000000000000004">
      <c r="B12" t="s">
        <v>167</v>
      </c>
      <c r="C12" t="s">
        <v>93</v>
      </c>
      <c r="D12" s="25">
        <v>240100000</v>
      </c>
      <c r="E12" s="6" t="s">
        <v>33</v>
      </c>
      <c r="F12" s="6"/>
      <c r="G12" s="6" t="s">
        <v>31</v>
      </c>
      <c r="H12" s="6">
        <v>13.7</v>
      </c>
      <c r="I12" s="6" t="s">
        <v>30</v>
      </c>
      <c r="J12" s="1"/>
      <c r="K12" s="11" t="s">
        <v>10</v>
      </c>
      <c r="L12" s="14" t="str">
        <f>MID(L7,5,1)</f>
        <v>1</v>
      </c>
    </row>
    <row r="13" spans="1:12" x14ac:dyDescent="0.55000000000000004">
      <c r="A13" s="9"/>
      <c r="B13" t="s">
        <v>168</v>
      </c>
      <c r="D13" s="25">
        <v>1260000</v>
      </c>
      <c r="E13" s="6" t="s">
        <v>169</v>
      </c>
      <c r="F13" s="6"/>
      <c r="G13" s="1" t="s">
        <v>171</v>
      </c>
      <c r="H13" s="6">
        <f>H11*H12</f>
        <v>4192.2</v>
      </c>
      <c r="I13" s="6" t="s">
        <v>32</v>
      </c>
      <c r="J13" s="1"/>
      <c r="K13" s="11" t="s">
        <v>8</v>
      </c>
      <c r="L13" s="14" t="str">
        <f>MID(L7,6,1)</f>
        <v>9</v>
      </c>
    </row>
    <row r="14" spans="1:12" x14ac:dyDescent="0.55000000000000004">
      <c r="A14" t="s">
        <v>40</v>
      </c>
      <c r="C14" t="s">
        <v>41</v>
      </c>
      <c r="D14" s="6" t="s">
        <v>172</v>
      </c>
      <c r="E14" s="6"/>
      <c r="F14" s="8"/>
      <c r="G14" s="1"/>
      <c r="I14" s="1"/>
      <c r="K14" s="11" t="s">
        <v>9</v>
      </c>
      <c r="L14" s="14" t="str">
        <f>MID(L7,7,1)</f>
        <v>9</v>
      </c>
    </row>
    <row r="15" spans="1:12" x14ac:dyDescent="0.55000000000000004">
      <c r="D15" s="6" t="s">
        <v>42</v>
      </c>
      <c r="E15" s="6">
        <v>410</v>
      </c>
      <c r="F15" s="6" t="s">
        <v>34</v>
      </c>
      <c r="G15" s="1"/>
      <c r="H15" s="6"/>
      <c r="I15" s="1"/>
      <c r="K15" s="12" t="s">
        <v>2</v>
      </c>
      <c r="L15" s="15" t="str">
        <f>MID(L7,8,1)</f>
        <v>2</v>
      </c>
    </row>
    <row r="16" spans="1:12" x14ac:dyDescent="0.55000000000000004">
      <c r="D16" s="6" t="s">
        <v>43</v>
      </c>
      <c r="E16" s="6">
        <v>275</v>
      </c>
      <c r="F16" s="6" t="s">
        <v>34</v>
      </c>
      <c r="G16" s="1"/>
      <c r="H16" s="2"/>
      <c r="I16" s="3"/>
    </row>
    <row r="17" spans="1:10" x14ac:dyDescent="0.55000000000000004">
      <c r="A17" t="s">
        <v>44</v>
      </c>
      <c r="C17" s="6" t="s">
        <v>173</v>
      </c>
      <c r="D17" s="6">
        <f>2</f>
        <v>2</v>
      </c>
      <c r="F17" s="27" t="s">
        <v>45</v>
      </c>
      <c r="G17" s="1"/>
      <c r="I17" s="1"/>
      <c r="J17" s="6"/>
    </row>
    <row r="18" spans="1:10" x14ac:dyDescent="0.55000000000000004">
      <c r="A18" t="s">
        <v>46</v>
      </c>
      <c r="C18" s="6" t="s">
        <v>174</v>
      </c>
      <c r="D18" s="2"/>
      <c r="E18" s="6">
        <f>3+($L$9/2)</f>
        <v>5.5</v>
      </c>
      <c r="F18" s="6" t="s">
        <v>47</v>
      </c>
      <c r="G18" s="1"/>
      <c r="I18" s="1"/>
      <c r="J18" s="6"/>
    </row>
    <row r="19" spans="1:10" x14ac:dyDescent="0.55000000000000004">
      <c r="A19" t="s">
        <v>48</v>
      </c>
      <c r="C19" s="6" t="s">
        <v>160</v>
      </c>
      <c r="D19" s="6" t="s">
        <v>50</v>
      </c>
      <c r="E19" s="6">
        <f>10+$L$9</f>
        <v>15</v>
      </c>
      <c r="F19" s="6" t="s">
        <v>49</v>
      </c>
      <c r="G19" s="1"/>
      <c r="H19" s="6"/>
      <c r="I19" s="1"/>
      <c r="J19" s="6"/>
    </row>
    <row r="20" spans="1:10" x14ac:dyDescent="0.55000000000000004">
      <c r="B20" s="4"/>
      <c r="E20" s="6">
        <v>40</v>
      </c>
      <c r="F20" s="6" t="s">
        <v>51</v>
      </c>
      <c r="G20" s="1"/>
      <c r="I20" s="1"/>
      <c r="J20" s="6"/>
    </row>
    <row r="21" spans="1:10" x14ac:dyDescent="0.55000000000000004">
      <c r="E21" s="6">
        <v>5</v>
      </c>
      <c r="F21" s="6" t="s">
        <v>52</v>
      </c>
      <c r="G21" s="1"/>
      <c r="I21" s="1"/>
      <c r="J21" s="6"/>
    </row>
    <row r="22" spans="1:10" x14ac:dyDescent="0.55000000000000004">
      <c r="B22" s="4"/>
      <c r="E22" s="6">
        <v>8</v>
      </c>
      <c r="F22" s="6" t="s">
        <v>53</v>
      </c>
      <c r="G22" s="1"/>
      <c r="I22" s="1"/>
      <c r="J22" s="6"/>
    </row>
    <row r="23" spans="1:10" x14ac:dyDescent="0.55000000000000004">
      <c r="A23" t="s">
        <v>54</v>
      </c>
      <c r="D23" s="6" t="s">
        <v>55</v>
      </c>
      <c r="E23" s="6">
        <v>0.5</v>
      </c>
      <c r="F23" s="6" t="s">
        <v>56</v>
      </c>
      <c r="G23" s="6"/>
      <c r="I23" s="1"/>
      <c r="J23" s="6"/>
    </row>
    <row r="24" spans="1:10" x14ac:dyDescent="0.55000000000000004">
      <c r="A24" t="s">
        <v>57</v>
      </c>
      <c r="D24" s="6" t="s">
        <v>58</v>
      </c>
      <c r="E24" s="6">
        <v>2</v>
      </c>
      <c r="F24" s="6" t="s">
        <v>59</v>
      </c>
      <c r="G24" s="6"/>
      <c r="I24" s="1"/>
      <c r="J24" s="6"/>
    </row>
    <row r="25" spans="1:10" x14ac:dyDescent="0.55000000000000004">
      <c r="A25" t="s">
        <v>60</v>
      </c>
      <c r="C25" s="28" t="s">
        <v>61</v>
      </c>
      <c r="D25" s="6" t="s">
        <v>62</v>
      </c>
      <c r="E25" s="20">
        <f>$E$7*1000/250</f>
        <v>92</v>
      </c>
      <c r="F25" s="6" t="s">
        <v>30</v>
      </c>
      <c r="H25" s="7"/>
    </row>
    <row r="26" spans="1:10" x14ac:dyDescent="0.55000000000000004">
      <c r="A26" t="s">
        <v>20</v>
      </c>
      <c r="D26" t="s">
        <v>175</v>
      </c>
      <c r="H26" s="6" t="s">
        <v>161</v>
      </c>
      <c r="I26" s="6">
        <v>0.35</v>
      </c>
    </row>
    <row r="28" spans="1:10" x14ac:dyDescent="0.55000000000000004">
      <c r="A28" t="s">
        <v>85</v>
      </c>
      <c r="D28" s="6" t="s">
        <v>86</v>
      </c>
      <c r="E28" s="6">
        <v>2.2000000000000002</v>
      </c>
      <c r="G28" t="s">
        <v>176</v>
      </c>
    </row>
    <row r="30" spans="1:10" x14ac:dyDescent="0.55000000000000004">
      <c r="A30" t="s">
        <v>71</v>
      </c>
    </row>
    <row r="31" spans="1:10" x14ac:dyDescent="0.55000000000000004">
      <c r="B31" t="s">
        <v>12</v>
      </c>
      <c r="C31">
        <f>$E$19</f>
        <v>15</v>
      </c>
      <c r="E31" t="s">
        <v>13</v>
      </c>
      <c r="G31" s="6">
        <f>$E$20*$E$21</f>
        <v>200</v>
      </c>
      <c r="H31" s="6" t="s">
        <v>67</v>
      </c>
      <c r="J31" t="s">
        <v>177</v>
      </c>
    </row>
    <row r="32" spans="1:10" x14ac:dyDescent="0.55000000000000004">
      <c r="B32" s="22" t="s">
        <v>63</v>
      </c>
      <c r="C32">
        <f>$E$22</f>
        <v>8</v>
      </c>
      <c r="E32" t="s">
        <v>64</v>
      </c>
      <c r="G32" s="19">
        <f>$E$18*$C$32</f>
        <v>44</v>
      </c>
      <c r="H32" s="6" t="s">
        <v>66</v>
      </c>
      <c r="J32" t="s">
        <v>65</v>
      </c>
    </row>
    <row r="33" spans="1:12" x14ac:dyDescent="0.55000000000000004">
      <c r="B33" t="s">
        <v>14</v>
      </c>
      <c r="D33" s="22" t="s">
        <v>68</v>
      </c>
      <c r="G33" s="19">
        <f>$C$31*$G$31*$G$32</f>
        <v>132000</v>
      </c>
      <c r="H33" s="6" t="s">
        <v>15</v>
      </c>
      <c r="I33" s="6"/>
      <c r="J33" t="s">
        <v>17</v>
      </c>
      <c r="K33" s="6" t="s">
        <v>178</v>
      </c>
    </row>
    <row r="34" spans="1:12" x14ac:dyDescent="0.55000000000000004">
      <c r="B34" t="s">
        <v>16</v>
      </c>
      <c r="E34" s="1" t="s">
        <v>69</v>
      </c>
      <c r="F34" s="29">
        <f>$D$17</f>
        <v>2</v>
      </c>
      <c r="G34" s="6"/>
      <c r="L34" s="6"/>
    </row>
    <row r="35" spans="1:12" x14ac:dyDescent="0.55000000000000004">
      <c r="B35" t="s">
        <v>19</v>
      </c>
      <c r="E35" s="6" t="str">
        <f>K33</f>
        <v>U4</v>
      </c>
      <c r="F35" s="6" t="s">
        <v>70</v>
      </c>
      <c r="G35" s="8" t="s">
        <v>18</v>
      </c>
      <c r="H35" s="6" t="s">
        <v>179</v>
      </c>
    </row>
    <row r="37" spans="1:12" x14ac:dyDescent="0.55000000000000004">
      <c r="A37" t="s">
        <v>72</v>
      </c>
    </row>
    <row r="38" spans="1:12" x14ac:dyDescent="0.55000000000000004">
      <c r="B38" t="s">
        <v>21</v>
      </c>
      <c r="E38" t="s">
        <v>73</v>
      </c>
      <c r="I38" s="6">
        <f>C31*G31*C32</f>
        <v>24000</v>
      </c>
      <c r="J38" s="6" t="s">
        <v>22</v>
      </c>
      <c r="L38" s="6"/>
    </row>
    <row r="39" spans="1:12" x14ac:dyDescent="0.55000000000000004">
      <c r="B39" t="s">
        <v>23</v>
      </c>
      <c r="G39" s="6">
        <f>I26*I38</f>
        <v>8400</v>
      </c>
      <c r="H39" s="6" t="s">
        <v>22</v>
      </c>
      <c r="J39" t="s">
        <v>24</v>
      </c>
      <c r="L39" s="6" t="s">
        <v>180</v>
      </c>
    </row>
    <row r="40" spans="1:12" x14ac:dyDescent="0.55000000000000004">
      <c r="B40" t="s">
        <v>25</v>
      </c>
      <c r="E40" s="1" t="s">
        <v>74</v>
      </c>
      <c r="F40" s="29">
        <f>$D$17</f>
        <v>2</v>
      </c>
      <c r="G40" s="6"/>
    </row>
    <row r="41" spans="1:12" x14ac:dyDescent="0.55000000000000004">
      <c r="B41" t="s">
        <v>26</v>
      </c>
      <c r="E41" s="6" t="s">
        <v>180</v>
      </c>
      <c r="F41" s="6" t="s">
        <v>75</v>
      </c>
      <c r="G41" s="8" t="s">
        <v>18</v>
      </c>
      <c r="H41" s="6" t="s">
        <v>181</v>
      </c>
    </row>
    <row r="43" spans="1:12" x14ac:dyDescent="0.55000000000000004">
      <c r="A43" s="4" t="s">
        <v>76</v>
      </c>
      <c r="F43" s="6" t="str">
        <f>H35</f>
        <v>A4</v>
      </c>
      <c r="G43" s="8" t="s">
        <v>18</v>
      </c>
      <c r="H43" s="30" t="s">
        <v>77</v>
      </c>
      <c r="I43" s="16" t="s">
        <v>27</v>
      </c>
      <c r="J43" s="17">
        <v>1.08</v>
      </c>
    </row>
    <row r="45" spans="1:12" x14ac:dyDescent="0.55000000000000004">
      <c r="A45" t="s">
        <v>78</v>
      </c>
      <c r="C45" s="6" t="s">
        <v>79</v>
      </c>
      <c r="D45" s="6" t="s">
        <v>27</v>
      </c>
      <c r="E45" s="6">
        <f>$E$23</f>
        <v>0.5</v>
      </c>
      <c r="F45" s="6" t="s">
        <v>56</v>
      </c>
    </row>
    <row r="46" spans="1:12" x14ac:dyDescent="0.55000000000000004">
      <c r="C46" t="s">
        <v>80</v>
      </c>
      <c r="G46" s="6" t="s">
        <v>81</v>
      </c>
      <c r="H46" s="6" t="s">
        <v>27</v>
      </c>
      <c r="I46" s="6">
        <v>0.6</v>
      </c>
    </row>
    <row r="48" spans="1:12" x14ac:dyDescent="0.55000000000000004">
      <c r="A48" s="4" t="s">
        <v>82</v>
      </c>
      <c r="D48" s="31" t="s">
        <v>83</v>
      </c>
      <c r="E48" s="32" t="s">
        <v>84</v>
      </c>
      <c r="F48" s="33"/>
      <c r="G48" s="17">
        <f>1+I46*E45</f>
        <v>1.3</v>
      </c>
    </row>
    <row r="50" spans="1:13" x14ac:dyDescent="0.55000000000000004">
      <c r="A50" t="s">
        <v>87</v>
      </c>
      <c r="D50" t="s">
        <v>88</v>
      </c>
      <c r="F50" t="s">
        <v>89</v>
      </c>
      <c r="G50" s="23">
        <f>$E$16/$E$28</f>
        <v>124.99999999999999</v>
      </c>
      <c r="H50" s="6" t="s">
        <v>34</v>
      </c>
    </row>
    <row r="52" spans="1:13" x14ac:dyDescent="0.55000000000000004">
      <c r="A52" t="s">
        <v>90</v>
      </c>
    </row>
    <row r="53" spans="1:13" x14ac:dyDescent="0.55000000000000004">
      <c r="B53" t="s">
        <v>91</v>
      </c>
      <c r="D53" s="6" t="s">
        <v>6</v>
      </c>
      <c r="E53" s="25">
        <f>D11</f>
        <v>10700</v>
      </c>
      <c r="F53" s="6" t="s">
        <v>32</v>
      </c>
      <c r="G53" s="19"/>
      <c r="H53" s="6"/>
    </row>
    <row r="54" spans="1:13" x14ac:dyDescent="0.55000000000000004">
      <c r="B54" t="s">
        <v>92</v>
      </c>
      <c r="D54" s="6" t="s">
        <v>93</v>
      </c>
      <c r="E54" s="25">
        <f>D12</f>
        <v>240100000</v>
      </c>
      <c r="F54" s="6" t="s">
        <v>33</v>
      </c>
      <c r="G54" s="26"/>
      <c r="H54" s="6"/>
    </row>
    <row r="55" spans="1:13" x14ac:dyDescent="0.55000000000000004">
      <c r="B55" s="27" t="s">
        <v>182</v>
      </c>
      <c r="C55" s="6"/>
      <c r="D55" s="6" t="s">
        <v>154</v>
      </c>
      <c r="E55" s="6">
        <f>H13</f>
        <v>4192.2</v>
      </c>
      <c r="F55" s="6" t="s">
        <v>32</v>
      </c>
      <c r="G55" s="6"/>
      <c r="H55" s="6"/>
      <c r="I55" s="6"/>
      <c r="J55" s="6"/>
    </row>
    <row r="56" spans="1:13" x14ac:dyDescent="0.55000000000000004">
      <c r="B56" s="6"/>
      <c r="E56" s="6"/>
      <c r="F56" s="6"/>
      <c r="H56" s="6"/>
      <c r="K56" s="6"/>
      <c r="L56" s="6"/>
    </row>
    <row r="57" spans="1:13" x14ac:dyDescent="0.55000000000000004">
      <c r="A57" t="s">
        <v>94</v>
      </c>
    </row>
    <row r="58" spans="1:13" x14ac:dyDescent="0.55000000000000004">
      <c r="A58" t="s">
        <v>95</v>
      </c>
    </row>
    <row r="59" spans="1:13" x14ac:dyDescent="0.55000000000000004">
      <c r="A59" t="s">
        <v>96</v>
      </c>
    </row>
    <row r="60" spans="1:13" x14ac:dyDescent="0.55000000000000004">
      <c r="A60" t="s">
        <v>97</v>
      </c>
    </row>
    <row r="62" spans="1:13" x14ac:dyDescent="0.55000000000000004">
      <c r="B62" t="s">
        <v>100</v>
      </c>
      <c r="E62" s="6" t="s">
        <v>101</v>
      </c>
      <c r="F62" s="6">
        <v>7850</v>
      </c>
      <c r="G62" s="6" t="s">
        <v>102</v>
      </c>
      <c r="H62" s="6" t="s">
        <v>27</v>
      </c>
      <c r="I62" s="20">
        <f>F62*9.806/1000</f>
        <v>76.977099999999993</v>
      </c>
      <c r="J62" s="6" t="s">
        <v>103</v>
      </c>
    </row>
    <row r="63" spans="1:13" x14ac:dyDescent="0.55000000000000004">
      <c r="A63" t="s">
        <v>98</v>
      </c>
      <c r="E63" s="6" t="s">
        <v>106</v>
      </c>
      <c r="F63" t="s">
        <v>99</v>
      </c>
      <c r="H63" s="20">
        <f>$E$53*$E$7*$I$62/10^6</f>
        <v>18.944064309999998</v>
      </c>
      <c r="I63" s="6" t="s">
        <v>28</v>
      </c>
      <c r="K63" t="s">
        <v>195</v>
      </c>
      <c r="L63" s="7">
        <f>H63/E7</f>
        <v>0.82365496999999988</v>
      </c>
      <c r="M63" s="6" t="s">
        <v>194</v>
      </c>
    </row>
    <row r="64" spans="1:13" x14ac:dyDescent="0.55000000000000004">
      <c r="B64" t="s">
        <v>104</v>
      </c>
      <c r="F64" s="6" t="s">
        <v>105</v>
      </c>
      <c r="G64" s="6" t="s">
        <v>107</v>
      </c>
      <c r="H64" s="20">
        <f>H63/2</f>
        <v>9.4720321549999991</v>
      </c>
      <c r="I64" s="6" t="s">
        <v>28</v>
      </c>
    </row>
    <row r="65" spans="1:11" x14ac:dyDescent="0.55000000000000004">
      <c r="B65" t="s">
        <v>108</v>
      </c>
      <c r="E65" t="s">
        <v>109</v>
      </c>
      <c r="F65" t="s">
        <v>196</v>
      </c>
      <c r="H65" s="20">
        <f>(L63*(E7^2)/8)</f>
        <v>54.464184891249992</v>
      </c>
      <c r="I65" s="6" t="s">
        <v>29</v>
      </c>
    </row>
    <row r="66" spans="1:11" x14ac:dyDescent="0.55000000000000004">
      <c r="A66" t="s">
        <v>183</v>
      </c>
      <c r="E66" t="s">
        <v>110</v>
      </c>
      <c r="F66" s="6" t="s">
        <v>184</v>
      </c>
      <c r="G66" s="20">
        <f>E9/1000</f>
        <v>2.8</v>
      </c>
      <c r="H66" s="6" t="s">
        <v>28</v>
      </c>
    </row>
    <row r="67" spans="1:11" x14ac:dyDescent="0.55000000000000004">
      <c r="B67" t="s">
        <v>111</v>
      </c>
      <c r="F67" s="6" t="s">
        <v>112</v>
      </c>
      <c r="G67" s="6" t="s">
        <v>113</v>
      </c>
      <c r="H67" s="20">
        <f>G66/2</f>
        <v>1.4</v>
      </c>
      <c r="I67" s="6" t="s">
        <v>28</v>
      </c>
    </row>
    <row r="68" spans="1:11" x14ac:dyDescent="0.55000000000000004">
      <c r="B68" t="s">
        <v>114</v>
      </c>
      <c r="E68" t="s">
        <v>115</v>
      </c>
      <c r="F68" t="s">
        <v>116</v>
      </c>
      <c r="H68" s="20">
        <f>H67*((E7-E8)/2)</f>
        <v>16.099999999999998</v>
      </c>
      <c r="I68" s="6" t="s">
        <v>29</v>
      </c>
    </row>
    <row r="69" spans="1:11" x14ac:dyDescent="0.55000000000000004">
      <c r="A69" t="s">
        <v>185</v>
      </c>
      <c r="E69" t="s">
        <v>118</v>
      </c>
      <c r="F69" t="s">
        <v>186</v>
      </c>
    </row>
    <row r="70" spans="1:11" x14ac:dyDescent="0.55000000000000004">
      <c r="B70" t="s">
        <v>117</v>
      </c>
      <c r="F70" t="s">
        <v>132</v>
      </c>
    </row>
    <row r="71" spans="1:11" x14ac:dyDescent="0.55000000000000004">
      <c r="B71" t="s">
        <v>119</v>
      </c>
      <c r="E71" t="s">
        <v>120</v>
      </c>
      <c r="F71" t="s">
        <v>121</v>
      </c>
    </row>
    <row r="73" spans="1:11" x14ac:dyDescent="0.55000000000000004">
      <c r="B73" t="s">
        <v>122</v>
      </c>
      <c r="D73" t="s">
        <v>123</v>
      </c>
      <c r="E73" t="s">
        <v>124</v>
      </c>
      <c r="H73" t="s">
        <v>187</v>
      </c>
    </row>
    <row r="75" spans="1:11" x14ac:dyDescent="0.55000000000000004">
      <c r="A75" t="s">
        <v>125</v>
      </c>
      <c r="E75" t="s">
        <v>188</v>
      </c>
      <c r="H75" s="8" t="s">
        <v>18</v>
      </c>
      <c r="I75" t="s">
        <v>189</v>
      </c>
    </row>
    <row r="76" spans="1:11" x14ac:dyDescent="0.55000000000000004">
      <c r="B76" t="s">
        <v>126</v>
      </c>
      <c r="C76" s="20">
        <f>G50*D13/10^6</f>
        <v>157.49999999999997</v>
      </c>
      <c r="D76" s="6" t="s">
        <v>29</v>
      </c>
    </row>
    <row r="78" spans="1:11" x14ac:dyDescent="0.55000000000000004">
      <c r="A78" t="s">
        <v>127</v>
      </c>
      <c r="F78" t="s">
        <v>128</v>
      </c>
      <c r="G78" t="s">
        <v>129</v>
      </c>
    </row>
    <row r="79" spans="1:11" x14ac:dyDescent="0.55000000000000004">
      <c r="B79" t="s">
        <v>120</v>
      </c>
      <c r="C79" s="20">
        <f>(C76/J43)-H65-H68</f>
        <v>75.269148442083292</v>
      </c>
      <c r="D79" s="6" t="s">
        <v>29</v>
      </c>
    </row>
    <row r="80" spans="1:11" x14ac:dyDescent="0.55000000000000004">
      <c r="B80" t="s">
        <v>130</v>
      </c>
      <c r="C80" t="s">
        <v>131</v>
      </c>
      <c r="E80" s="20">
        <f>C79/((E7-E8)/2)</f>
        <v>6.5451433427898511</v>
      </c>
      <c r="F80" s="6" t="s">
        <v>28</v>
      </c>
      <c r="H80" t="s">
        <v>133</v>
      </c>
      <c r="J80" s="20">
        <f>2*E80</f>
        <v>13.090286685579702</v>
      </c>
      <c r="K80" s="6" t="s">
        <v>28</v>
      </c>
    </row>
    <row r="81" spans="1:27" x14ac:dyDescent="0.55000000000000004">
      <c r="B81" s="21" t="s">
        <v>190</v>
      </c>
      <c r="C81" s="18" t="s">
        <v>191</v>
      </c>
      <c r="D81" s="18"/>
      <c r="E81" s="36">
        <f>J80/G48</f>
        <v>10.069451296599771</v>
      </c>
      <c r="F81" s="17" t="s">
        <v>28</v>
      </c>
      <c r="H81" s="4" t="s">
        <v>134</v>
      </c>
      <c r="O81" s="4"/>
    </row>
    <row r="83" spans="1:27" x14ac:dyDescent="0.55000000000000004">
      <c r="A83" t="s">
        <v>135</v>
      </c>
    </row>
    <row r="84" spans="1:27" x14ac:dyDescent="0.55000000000000004">
      <c r="A84" t="s">
        <v>138</v>
      </c>
      <c r="E84" t="s">
        <v>137</v>
      </c>
      <c r="F84" s="20">
        <f>$E$25</f>
        <v>92</v>
      </c>
      <c r="G84" s="6" t="s">
        <v>30</v>
      </c>
      <c r="I84" t="s">
        <v>141</v>
      </c>
      <c r="K84" s="6" t="s">
        <v>10</v>
      </c>
      <c r="L84" s="19">
        <v>210000</v>
      </c>
      <c r="M84" s="6" t="s">
        <v>34</v>
      </c>
    </row>
    <row r="85" spans="1:27" x14ac:dyDescent="0.55000000000000004">
      <c r="B85" t="s">
        <v>136</v>
      </c>
      <c r="F85" t="s">
        <v>139</v>
      </c>
      <c r="G85" t="s">
        <v>140</v>
      </c>
      <c r="I85" t="s">
        <v>142</v>
      </c>
      <c r="K85" s="20">
        <f>5*($H$63*1000)*(($E$7*1000)^3)/(384*$L$84*$E$54)</f>
        <v>59.522887717649162</v>
      </c>
      <c r="L85" s="6" t="s">
        <v>30</v>
      </c>
    </row>
    <row r="86" spans="1:27" x14ac:dyDescent="0.55000000000000004">
      <c r="B86" t="s">
        <v>143</v>
      </c>
      <c r="F86" t="s">
        <v>144</v>
      </c>
      <c r="G86" t="s">
        <v>145</v>
      </c>
      <c r="K86" s="20">
        <f>($G$66*1000)*(($E$7*1000)^3)/(48*$L$84*$E$54)</f>
        <v>14.076310796427414</v>
      </c>
      <c r="L86" s="6" t="s">
        <v>30</v>
      </c>
    </row>
    <row r="87" spans="1:27" x14ac:dyDescent="0.55000000000000004">
      <c r="B87" t="s">
        <v>146</v>
      </c>
      <c r="E87" s="6" t="s">
        <v>147</v>
      </c>
      <c r="F87" t="s">
        <v>148</v>
      </c>
      <c r="I87" s="20">
        <f>F84-(K85+K86)</f>
        <v>18.400801485923424</v>
      </c>
      <c r="J87" s="6" t="s">
        <v>30</v>
      </c>
    </row>
    <row r="88" spans="1:27" x14ac:dyDescent="0.55000000000000004">
      <c r="C88" t="s">
        <v>150</v>
      </c>
      <c r="F88" s="6" t="s">
        <v>118</v>
      </c>
      <c r="G88" t="s">
        <v>149</v>
      </c>
      <c r="I88" s="20">
        <f>48*L84*E54*I87/((E7*1000)^3*1000)</f>
        <v>3.6602093336602088</v>
      </c>
      <c r="J88" s="6" t="s">
        <v>28</v>
      </c>
      <c r="T88" s="6"/>
      <c r="V88" s="6"/>
      <c r="W88" s="24"/>
      <c r="X88" s="6"/>
      <c r="Y88" s="8"/>
      <c r="Z88" s="23"/>
      <c r="AA88" s="6"/>
    </row>
    <row r="89" spans="1:27" x14ac:dyDescent="0.55000000000000004">
      <c r="B89" s="21" t="s">
        <v>192</v>
      </c>
      <c r="C89" s="18" t="s">
        <v>118</v>
      </c>
      <c r="D89" s="18"/>
      <c r="E89" s="36">
        <f>I88</f>
        <v>3.6602093336602088</v>
      </c>
      <c r="F89" s="17" t="s">
        <v>28</v>
      </c>
      <c r="H89" s="4" t="s">
        <v>151</v>
      </c>
    </row>
    <row r="91" spans="1:27" x14ac:dyDescent="0.55000000000000004">
      <c r="A91" s="4" t="s">
        <v>152</v>
      </c>
      <c r="P91" s="4"/>
      <c r="T91" s="37"/>
      <c r="U91" s="3"/>
      <c r="V91" s="38"/>
      <c r="W91" s="3"/>
      <c r="X91" s="3"/>
    </row>
    <row r="92" spans="1:27" x14ac:dyDescent="0.55000000000000004">
      <c r="B92" t="s">
        <v>153</v>
      </c>
      <c r="E92" t="s">
        <v>154</v>
      </c>
      <c r="G92" s="6">
        <f>E55</f>
        <v>4192.2</v>
      </c>
      <c r="H92" s="6" t="s">
        <v>32</v>
      </c>
      <c r="Z92" s="23"/>
      <c r="AA92" s="6"/>
    </row>
    <row r="93" spans="1:27" x14ac:dyDescent="0.55000000000000004">
      <c r="B93" t="s">
        <v>155</v>
      </c>
    </row>
    <row r="94" spans="1:27" x14ac:dyDescent="0.55000000000000004">
      <c r="C94" t="s">
        <v>156</v>
      </c>
      <c r="D94" t="s">
        <v>193</v>
      </c>
      <c r="J94" s="20">
        <f>J43*(H63+((G48*E81)+G66)*(E7-(E8/2))/E7)</f>
        <v>37.621099075226077</v>
      </c>
      <c r="K94" s="6" t="s">
        <v>28</v>
      </c>
    </row>
    <row r="95" spans="1:27" x14ac:dyDescent="0.55000000000000004">
      <c r="B95" s="3" t="s">
        <v>157</v>
      </c>
      <c r="C95" t="s">
        <v>158</v>
      </c>
      <c r="D95" s="35">
        <f>J94*1000/G92</f>
        <v>8.9740706729702975</v>
      </c>
      <c r="E95" s="4" t="s">
        <v>34</v>
      </c>
      <c r="F95" s="4"/>
      <c r="G95" s="4" t="s">
        <v>159</v>
      </c>
      <c r="O95" s="4"/>
    </row>
    <row r="97" spans="2:26" x14ac:dyDescent="0.55000000000000004">
      <c r="R97" s="6"/>
      <c r="S97" s="6"/>
      <c r="T97" s="6"/>
      <c r="U97" s="6"/>
      <c r="V97" s="6"/>
      <c r="W97" s="6"/>
      <c r="X97" s="6"/>
      <c r="Y97" s="6"/>
      <c r="Z97" s="6"/>
    </row>
    <row r="99" spans="2:26" x14ac:dyDescent="0.55000000000000004">
      <c r="B99" s="61"/>
      <c r="S99" s="6"/>
      <c r="T99" s="6"/>
      <c r="Y99" s="6"/>
      <c r="Z99" s="6"/>
    </row>
    <row r="100" spans="2:26" x14ac:dyDescent="0.55000000000000004">
      <c r="T100" s="6"/>
      <c r="U100" s="6"/>
    </row>
    <row r="101" spans="2:26" x14ac:dyDescent="0.55000000000000004">
      <c r="T101" s="26"/>
      <c r="U101" s="6"/>
    </row>
    <row r="102" spans="2:26" x14ac:dyDescent="0.55000000000000004">
      <c r="S102" s="6"/>
      <c r="T102" s="6"/>
    </row>
    <row r="103" spans="2:26" x14ac:dyDescent="0.55000000000000004">
      <c r="T103" s="26"/>
      <c r="U103" s="6"/>
    </row>
    <row r="104" spans="2:26" x14ac:dyDescent="0.55000000000000004">
      <c r="U104" s="25"/>
    </row>
    <row r="106" spans="2:26" x14ac:dyDescent="0.55000000000000004">
      <c r="R106" s="3"/>
      <c r="S106" s="3"/>
      <c r="T106" s="3"/>
      <c r="U106" s="3"/>
      <c r="V106" s="3"/>
      <c r="W106" s="3"/>
      <c r="X106" s="3"/>
      <c r="Y106" s="3"/>
      <c r="Z106" s="3"/>
    </row>
    <row r="108" spans="2:26" x14ac:dyDescent="0.55000000000000004">
      <c r="S108" s="6"/>
      <c r="T108" s="6"/>
      <c r="Y108" s="6"/>
      <c r="Z108" s="6"/>
    </row>
    <row r="109" spans="2:26" x14ac:dyDescent="0.55000000000000004">
      <c r="T109" s="6"/>
      <c r="U109" s="6"/>
    </row>
    <row r="110" spans="2:26" x14ac:dyDescent="0.55000000000000004">
      <c r="T110" s="26"/>
      <c r="U110" s="6"/>
    </row>
    <row r="111" spans="2:26" x14ac:dyDescent="0.55000000000000004">
      <c r="S111" s="6"/>
      <c r="T111" s="6"/>
    </row>
    <row r="112" spans="2:26" x14ac:dyDescent="0.55000000000000004">
      <c r="T112" s="26"/>
      <c r="U112" s="6"/>
    </row>
    <row r="113" spans="21:24" x14ac:dyDescent="0.55000000000000004">
      <c r="U113" s="34"/>
      <c r="V113" s="4"/>
      <c r="W113" s="4"/>
      <c r="X113" s="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14" sqref="C14"/>
    </sheetView>
  </sheetViews>
  <sheetFormatPr baseColWidth="10" defaultRowHeight="14.4" x14ac:dyDescent="0.55000000000000004"/>
  <cols>
    <col min="2" max="2" width="17.3125" style="61" customWidth="1"/>
    <col min="3" max="3" width="23.20703125" customWidth="1"/>
  </cols>
  <sheetData>
    <row r="1" spans="1:3" ht="28.8" x14ac:dyDescent="0.55000000000000004">
      <c r="A1" s="59" t="s">
        <v>235</v>
      </c>
      <c r="B1" s="60" t="s">
        <v>236</v>
      </c>
      <c r="C1" s="59" t="s">
        <v>237</v>
      </c>
    </row>
    <row r="3" spans="1:3" x14ac:dyDescent="0.55000000000000004">
      <c r="A3" s="6">
        <v>1</v>
      </c>
      <c r="B3" s="62" t="s">
        <v>238</v>
      </c>
      <c r="C3" s="39" t="s">
        <v>239</v>
      </c>
    </row>
    <row r="4" spans="1:3" x14ac:dyDescent="0.55000000000000004">
      <c r="A4" s="6">
        <v>2</v>
      </c>
      <c r="B4" s="62" t="s">
        <v>240</v>
      </c>
      <c r="C4" s="39" t="s">
        <v>241</v>
      </c>
    </row>
    <row r="5" spans="1:3" x14ac:dyDescent="0.55000000000000004">
      <c r="A5" s="6">
        <v>3</v>
      </c>
      <c r="B5" s="62" t="s">
        <v>242</v>
      </c>
      <c r="C5" s="39" t="s">
        <v>243</v>
      </c>
    </row>
    <row r="6" spans="1:3" x14ac:dyDescent="0.55000000000000004">
      <c r="A6" s="6">
        <v>4</v>
      </c>
      <c r="B6" s="62" t="s">
        <v>244</v>
      </c>
      <c r="C6" s="39" t="s">
        <v>245</v>
      </c>
    </row>
    <row r="7" spans="1:3" x14ac:dyDescent="0.55000000000000004">
      <c r="A7" s="6">
        <v>5</v>
      </c>
      <c r="B7" s="62" t="s">
        <v>246</v>
      </c>
      <c r="C7" s="39" t="s">
        <v>247</v>
      </c>
    </row>
    <row r="8" spans="1:3" x14ac:dyDescent="0.55000000000000004">
      <c r="A8" s="6">
        <v>6</v>
      </c>
      <c r="B8" s="62" t="s">
        <v>248</v>
      </c>
      <c r="C8" s="39" t="s">
        <v>249</v>
      </c>
    </row>
    <row r="9" spans="1:3" x14ac:dyDescent="0.55000000000000004">
      <c r="A9" s="6">
        <v>7</v>
      </c>
      <c r="B9" s="62" t="s">
        <v>250</v>
      </c>
      <c r="C9" s="39" t="s">
        <v>251</v>
      </c>
    </row>
    <row r="10" spans="1:3" x14ac:dyDescent="0.55000000000000004">
      <c r="A10" s="6">
        <v>8</v>
      </c>
      <c r="B10" s="62" t="s">
        <v>252</v>
      </c>
      <c r="C10" s="39" t="s">
        <v>253</v>
      </c>
    </row>
    <row r="11" spans="1:3" x14ac:dyDescent="0.55000000000000004">
      <c r="A11" s="6">
        <v>9</v>
      </c>
      <c r="B11" s="62" t="s">
        <v>254</v>
      </c>
      <c r="C11" s="39" t="s">
        <v>255</v>
      </c>
    </row>
    <row r="12" spans="1:3" x14ac:dyDescent="0.55000000000000004">
      <c r="A12" s="6">
        <v>10</v>
      </c>
      <c r="B12" s="62" t="s">
        <v>256</v>
      </c>
      <c r="C12" s="39" t="s">
        <v>257</v>
      </c>
    </row>
    <row r="13" spans="1:3" x14ac:dyDescent="0.55000000000000004">
      <c r="A13" s="6">
        <v>11</v>
      </c>
      <c r="B13" s="62" t="s">
        <v>258</v>
      </c>
      <c r="C13" s="39" t="s">
        <v>259</v>
      </c>
    </row>
    <row r="14" spans="1:3" x14ac:dyDescent="0.55000000000000004">
      <c r="A14" s="6">
        <v>12</v>
      </c>
      <c r="B14" s="62" t="s">
        <v>277</v>
      </c>
      <c r="C14" s="39" t="s">
        <v>260</v>
      </c>
    </row>
    <row r="15" spans="1:3" x14ac:dyDescent="0.55000000000000004">
      <c r="A15" s="6">
        <v>13</v>
      </c>
      <c r="B15" s="62" t="s">
        <v>261</v>
      </c>
      <c r="C15" s="39" t="s">
        <v>262</v>
      </c>
    </row>
    <row r="16" spans="1:3" x14ac:dyDescent="0.55000000000000004">
      <c r="A16" s="6">
        <v>14</v>
      </c>
      <c r="B16" s="62" t="s">
        <v>263</v>
      </c>
      <c r="C16" s="39" t="s">
        <v>264</v>
      </c>
    </row>
    <row r="17" spans="1:3" x14ac:dyDescent="0.55000000000000004">
      <c r="A17" s="6">
        <v>15</v>
      </c>
      <c r="B17" s="62" t="s">
        <v>265</v>
      </c>
      <c r="C17" s="39" t="s">
        <v>266</v>
      </c>
    </row>
    <row r="18" spans="1:3" x14ac:dyDescent="0.55000000000000004">
      <c r="A18" s="6">
        <v>16</v>
      </c>
      <c r="B18" s="62" t="s">
        <v>267</v>
      </c>
      <c r="C18" s="39" t="s">
        <v>268</v>
      </c>
    </row>
    <row r="19" spans="1:3" x14ac:dyDescent="0.55000000000000004">
      <c r="A19" s="6">
        <v>17</v>
      </c>
      <c r="B19" s="62" t="s">
        <v>269</v>
      </c>
      <c r="C19" s="39" t="s">
        <v>270</v>
      </c>
    </row>
    <row r="20" spans="1:3" x14ac:dyDescent="0.55000000000000004">
      <c r="A20" s="6">
        <v>18</v>
      </c>
      <c r="B20" s="62" t="s">
        <v>271</v>
      </c>
      <c r="C20" s="39" t="s">
        <v>272</v>
      </c>
    </row>
    <row r="21" spans="1:3" x14ac:dyDescent="0.55000000000000004">
      <c r="A21" s="6">
        <v>19</v>
      </c>
      <c r="B21" s="62" t="s">
        <v>273</v>
      </c>
      <c r="C21" s="39" t="s">
        <v>274</v>
      </c>
    </row>
    <row r="22" spans="1:3" x14ac:dyDescent="0.55000000000000004">
      <c r="A22" s="6">
        <v>20</v>
      </c>
      <c r="B22" s="62" t="s">
        <v>275</v>
      </c>
      <c r="C22" s="39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Formulas</vt:lpstr>
      <vt:lpstr>Ejemplo</vt:lpstr>
      <vt:lpstr>Original</vt:lpstr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2023-08-21T22:46:06Z</dcterms:modified>
</cp:coreProperties>
</file>